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04 Información y solicitudes\01 OLDRUM\01 Tarifas\"/>
    </mc:Choice>
  </mc:AlternateContent>
  <xr:revisionPtr revIDLastSave="0" documentId="13_ncr:1_{6D8C08A9-D069-4660-8B21-2F9EA95F3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iniciales" sheetId="8" r:id="rId1"/>
    <sheet name="Declaración Responsable" sheetId="4" r:id="rId2"/>
    <sheet name="Licencia" sheetId="5" r:id="rId3"/>
    <sheet name="POyF" sheetId="7" r:id="rId4"/>
    <sheet name="CAU" sheetId="9" r:id="rId5"/>
  </sheets>
  <definedNames>
    <definedName name="_xlnm._FilterDatabase" localSheetId="0" hidden="1">'Datos iniciales'!#REF!</definedName>
    <definedName name="_xlnm._FilterDatabase" localSheetId="1" hidden="1">'Declaración Responsable'!#REF!</definedName>
    <definedName name="_xlnm.Print_Area" localSheetId="0">'Datos iniciales'!$B$1:$E$13</definedName>
    <definedName name="_xlnm.Print_Area" localSheetId="1">'Declaración Responsable'!$B$1:$F$27</definedName>
    <definedName name="_xlnm.Print_Area" localSheetId="2">Licencia!$B$1:$F$26</definedName>
    <definedName name="_xlnm.Print_Area" localSheetId="3">POyF!$B$1:$F$21</definedName>
    <definedName name="Print_Area" localSheetId="0">'Datos iniciales'!$B$1:$E$1</definedName>
    <definedName name="Print_Area" localSheetId="1">'Declaración Responsable'!$B$1:$F$20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7" l="1"/>
  <c r="F17" i="5"/>
  <c r="F16" i="5"/>
  <c r="F19" i="5" s="1"/>
  <c r="F18" i="4"/>
  <c r="F17" i="4"/>
  <c r="F20" i="4" s="1"/>
  <c r="F9" i="9"/>
  <c r="F8" i="9"/>
  <c r="C17" i="9"/>
  <c r="F14" i="9"/>
  <c r="F13" i="9"/>
  <c r="F12" i="9"/>
  <c r="C5" i="9"/>
  <c r="C4" i="9"/>
  <c r="C3" i="9"/>
  <c r="C2" i="9"/>
  <c r="D1" i="9"/>
  <c r="F13" i="7"/>
  <c r="F12" i="7"/>
  <c r="F10" i="7"/>
  <c r="F9" i="7"/>
  <c r="F13" i="5"/>
  <c r="F12" i="5"/>
  <c r="F11" i="5"/>
  <c r="F10" i="5"/>
  <c r="F9" i="5"/>
  <c r="F8" i="5"/>
  <c r="F16" i="4"/>
  <c r="F15" i="4"/>
  <c r="F14" i="4"/>
  <c r="F13" i="4"/>
  <c r="F12" i="4"/>
  <c r="F11" i="4"/>
  <c r="F10" i="4"/>
  <c r="F8" i="4"/>
  <c r="F18" i="7"/>
  <c r="F17" i="7"/>
  <c r="F16" i="7"/>
  <c r="F23" i="5"/>
  <c r="F22" i="5"/>
  <c r="F21" i="5"/>
  <c r="F24" i="4"/>
  <c r="F23" i="4"/>
  <c r="F22" i="4"/>
  <c r="F32" i="4"/>
  <c r="D1" i="5"/>
  <c r="D1" i="7"/>
  <c r="D1" i="4"/>
  <c r="C5" i="7"/>
  <c r="C4" i="7"/>
  <c r="C3" i="7"/>
  <c r="C2" i="7"/>
  <c r="C5" i="5"/>
  <c r="C4" i="5"/>
  <c r="C3" i="5"/>
  <c r="C2" i="5"/>
  <c r="C5" i="4"/>
  <c r="C3" i="4"/>
  <c r="C4" i="4"/>
  <c r="C2" i="4"/>
  <c r="C21" i="7"/>
  <c r="C26" i="5"/>
  <c r="C27" i="4"/>
  <c r="E11" i="8"/>
  <c r="F30" i="5"/>
  <c r="F31" i="5"/>
  <c r="F10" i="9" l="1"/>
  <c r="F15" i="9" s="1"/>
  <c r="F16" i="9" s="1"/>
  <c r="F17" i="9" s="1"/>
  <c r="F14" i="7"/>
  <c r="F19" i="7" l="1"/>
  <c r="F20" i="7" s="1"/>
  <c r="F21" i="7" s="1"/>
  <c r="F15" i="5"/>
  <c r="F14" i="5"/>
  <c r="F9" i="4" l="1"/>
  <c r="F25" i="4" l="1"/>
  <c r="F26" i="4" s="1"/>
  <c r="F24" i="5"/>
  <c r="F27" i="4" l="1"/>
  <c r="F25" i="5"/>
  <c r="F26" i="5" s="1"/>
</calcChain>
</file>

<file path=xl/sharedStrings.xml><?xml version="1.0" encoding="utf-8"?>
<sst xmlns="http://schemas.openxmlformats.org/spreadsheetml/2006/main" count="223" uniqueCount="101">
  <si>
    <t>BASE DE CALCULO</t>
  </si>
  <si>
    <t>TOTAL PRESUPUESTO (€):</t>
  </si>
  <si>
    <t>IMPORTE</t>
  </si>
  <si>
    <t>No</t>
  </si>
  <si>
    <t>Si</t>
  </si>
  <si>
    <t xml:space="preserve">Nueva Planta, restructuración parcial &gt;50% de la superficie, general o total, obras de ampliación y de reconstrucción y recuperación tipológica. </t>
  </si>
  <si>
    <t>3.3. Otras actuaciones urbanísticas provisionales. (articulo 1.4.11.2 del PGOUM)</t>
  </si>
  <si>
    <t>CONCEPTO</t>
  </si>
  <si>
    <t>SUBCONCEPTO</t>
  </si>
  <si>
    <t xml:space="preserve">3.1. Acondicionamiento puntual, parcial o general, conservación, restauración, exteriores, consolidación, reconfiguración, restructuración puntual y demolición. </t>
  </si>
  <si>
    <t xml:space="preserve">Por actuación </t>
  </si>
  <si>
    <t>IVA (21%):</t>
  </si>
  <si>
    <t>Por actuación</t>
  </si>
  <si>
    <t>TOTAL (€):</t>
  </si>
  <si>
    <t>BASE IMPONIBLE (€):</t>
  </si>
  <si>
    <t>Sup. afectada (m²)</t>
  </si>
  <si>
    <t>3.4. Obras consistentes en colocación de muestra o banderín.</t>
  </si>
  <si>
    <t>4.1. Cuando no ocupan la calzada y permiten un paso libre de 1,2 metros.</t>
  </si>
  <si>
    <t>4.2. Cuando ocupan la calzada o no permiten un paso libre de 1,2 metros.</t>
  </si>
  <si>
    <t>Para todas las actividades (con o sin incidencia ambiental).</t>
  </si>
  <si>
    <t>Precio único.</t>
  </si>
  <si>
    <t>1. ACTIVIDADES CON/SIN OBRAS DE:</t>
  </si>
  <si>
    <t>4. VALLAS, ANDAMIOS, MAQUINARIA, GRUAS Y APEOS:</t>
  </si>
  <si>
    <t>Potencia nom. (kW)</t>
  </si>
  <si>
    <t>Situacion:</t>
  </si>
  <si>
    <t>Actuación:</t>
  </si>
  <si>
    <t>Distrito nº:</t>
  </si>
  <si>
    <t>Por parado de larga duración o beneficiario de capitalización de la prestación, joven, discapacitado o asociación nacional de utilidad pública:</t>
  </si>
  <si>
    <t>Por cliente con 3 certificados de conformidad o 2 declaraciones responsables tramitados en ECITI con resultado satisfactorio:</t>
  </si>
  <si>
    <t>1.4 Centros de transformación. (Además de lo que corresponda por obra de acuerdo a los apartados anteriores)</t>
  </si>
  <si>
    <t>Por emplazamiento en distritos cuyo paro registrado supere la media de la ciudad</t>
  </si>
  <si>
    <t>1.2 Obras de nueva edificación con implantación o modificación de actividad.</t>
  </si>
  <si>
    <t>01 - Centro</t>
  </si>
  <si>
    <t>02 - Arganzuela</t>
  </si>
  <si>
    <t>03 - Retiro</t>
  </si>
  <si>
    <t>04 - Salamanca</t>
  </si>
  <si>
    <t>05 - Chamartín</t>
  </si>
  <si>
    <t>06 - Tetuán</t>
  </si>
  <si>
    <t>09 - Moncloa - Aravaca</t>
  </si>
  <si>
    <t>10 - Latina</t>
  </si>
  <si>
    <t>11 - Carabanchel</t>
  </si>
  <si>
    <t>12 - Usera</t>
  </si>
  <si>
    <t>13 - Puente de Vallecas</t>
  </si>
  <si>
    <t>14 - Moratalaz</t>
  </si>
  <si>
    <t>15 - Ciudad Lineal</t>
  </si>
  <si>
    <t>16 - Hortaleza</t>
  </si>
  <si>
    <t>17 - Villaverde</t>
  </si>
  <si>
    <t>18 - Villa de Vallecas</t>
  </si>
  <si>
    <t>19 - Vicálvaro</t>
  </si>
  <si>
    <t>20 - San Blas - Canillejas</t>
  </si>
  <si>
    <t>21 - Barajas</t>
  </si>
  <si>
    <t>07 - Chamberí</t>
  </si>
  <si>
    <t>Solicitante:</t>
  </si>
  <si>
    <t>Sin definir</t>
  </si>
  <si>
    <t>Deducciones</t>
  </si>
  <si>
    <t>Deducciones:</t>
  </si>
  <si>
    <t>IMPORTE (€)</t>
  </si>
  <si>
    <t>Suma de deducciones:</t>
  </si>
  <si>
    <t>3.2. Otras actuaciones urbanísticas estables. (art. 1.4.11.1 del PGOUM) incluida publicidad exterior.</t>
  </si>
  <si>
    <t>1.3 Obras de reestructuración general y total con implantación o modificación de actividad.</t>
  </si>
  <si>
    <t>3. ACTIVIDADES/USOS SUJETOS A INFORME PRECEPTIVO</t>
  </si>
  <si>
    <t>1. ACTIVIDADES CON/SIN OBRAS</t>
  </si>
  <si>
    <t>2. OBRAS</t>
  </si>
  <si>
    <t>5,1 Licencia básica</t>
  </si>
  <si>
    <t>5,2 Licencia urbanística</t>
  </si>
  <si>
    <t>¿Solicita licencia  básica?</t>
  </si>
  <si>
    <t>Por certificado</t>
  </si>
  <si>
    <t>6.2. SI incluye obras de nueva edificación o reestructuración general</t>
  </si>
  <si>
    <t>08- Fuencarral-El Pardo</t>
  </si>
  <si>
    <r>
      <t>TARIFA III. INSPECCIÓN Y COMPROBACION DE ACTUACIONES CON EMISIÓN DE CERTIFICADO DE CONFORMIDAD</t>
    </r>
    <r>
      <rPr>
        <sz val="10"/>
        <rFont val="Century Gothic"/>
        <family val="2"/>
      </rPr>
      <t xml:space="preserve"> (Se factura a la finalización de las obras)</t>
    </r>
  </si>
  <si>
    <t>3. VISITA ESPECIFICA PARA DETERMINADAS ACTUACIONES:</t>
  </si>
  <si>
    <t>3.1. Colocación de muestra de farmacia en fachada protegida.
3.2. Actuaciones puntuales de escasa entidad estructural. &lt; 15 m²</t>
  </si>
  <si>
    <t>4. VISITA DE COMPROBACIÓN E INSPECCIÓN DE OBRAS A PETICIÓN DEL INTERESADO:</t>
  </si>
  <si>
    <t>5. SEGUNDA Y POSTERIORES VISITAS EN LICENCIA DE FUNCIONAMIENTO o DR</t>
  </si>
  <si>
    <t>6.1. Por la emisión cada certificado de adecuación urbanística</t>
  </si>
  <si>
    <t>Paro registrado</t>
  </si>
  <si>
    <t>Cuenta corriente:</t>
  </si>
  <si>
    <t>6. CERTIFICADOS DE ADECUACION URBANISTICA (CAU)</t>
  </si>
  <si>
    <t>DATOS INICIALES</t>
  </si>
  <si>
    <t>Acondicionamiento puntual, parcial o general, exteriores, conservación, restauración, consolidación, reconfiguración y restructuración puntual y otras actuaciones urbanísticas con actividad. Restructuración parcial &lt;50% de la superficie,</t>
  </si>
  <si>
    <t>3. OBRAS SIN IMPLANTACIÓN NI MODIFICACIÓN DE ACTIVIDAD O PARA USO RESIDENCIAL:</t>
  </si>
  <si>
    <t>2. OBRAS SIN ACTIVIDAD Y USO RESIDENCIAL</t>
  </si>
  <si>
    <t>2.1. Acondicionamiento puntual, parcial o general, conservación, restauración, exteriores, consolidación, reconfiguración, restructuración puntual, parcial y demolición.</t>
  </si>
  <si>
    <r>
      <t>TARIFA I.-DECLARACIÓN RESPONSABLE</t>
    </r>
    <r>
      <rPr>
        <sz val="12"/>
        <rFont val="Century Gothic"/>
        <family val="2"/>
      </rPr>
      <t xml:space="preserve"> (se factura al inicio de la actuación)</t>
    </r>
  </si>
  <si>
    <r>
      <t>TARIFA II. FASE 1: LICENCIA URBANÍSTICA</t>
    </r>
    <r>
      <rPr>
        <sz val="12"/>
        <color theme="1"/>
        <rFont val="Century Gothic"/>
        <family val="2"/>
      </rPr>
      <t xml:space="preserve"> (se factura al inicio de la actuación)</t>
    </r>
  </si>
  <si>
    <t>1.5 Obras consistentes en colocación de muestra o banderín (por actuación)</t>
  </si>
  <si>
    <t>1.6 Carpas o casetas provisionales de las incluidas en el Art. 1.4.11.2.</t>
  </si>
  <si>
    <t>Precio Único</t>
  </si>
  <si>
    <t>1.1  Acondicionamiento puntual, parcial o general, exteriores, conservación, restauración, consolidación, reconfiguración y restructuración puntual y parcial y otras actuaciones urbanísticas con actividad.</t>
  </si>
  <si>
    <t>1.7. Otras actuaciones urbanísticas estables: (artículo 1.4.11.1 del PGOUM), incluye la publicidad exterior.</t>
  </si>
  <si>
    <t>1.8 Otras actuaciones provisionales del artículo 1.4.11.2</t>
  </si>
  <si>
    <t>CCC Banco Sabadell: 0081-0569-88-0001943595</t>
  </si>
  <si>
    <t>4, LICENCIA URBANISTICA CON LICENCIA BASICA</t>
  </si>
  <si>
    <t>1. VISITA PARA LPOF Y DRPOF</t>
  </si>
  <si>
    <t>2. VISITA DE COMPROBACIÓN DR</t>
  </si>
  <si>
    <t>IV.1 ACTIVIDADES/USOS SUJETOS A INFORME PRECEPTIVO</t>
  </si>
  <si>
    <t>Informe de patrimoniio</t>
  </si>
  <si>
    <t>Resto de informes</t>
  </si>
  <si>
    <t>Por cada informe</t>
  </si>
  <si>
    <t>Por informe</t>
  </si>
  <si>
    <t xml:space="preserve">CALCULO DE TARIFAS ECU MADRID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</si>
</sst>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16"/>
      <color theme="9" tint="-0.249977111117893"/>
      <name val="Century Gothic"/>
      <family val="2"/>
    </font>
    <font>
      <sz val="11"/>
      <color rgb="FFC00000"/>
      <name val="Century Gothic"/>
      <family val="2"/>
    </font>
    <font>
      <b/>
      <sz val="13"/>
      <color theme="1"/>
      <name val="Century Gothic"/>
      <family val="2"/>
    </font>
    <font>
      <u/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Calibri"/>
      <family val="2"/>
      <scheme val="minor"/>
    </font>
    <font>
      <u/>
      <sz val="10"/>
      <color theme="1"/>
      <name val="Century Gothic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35">
    <xf numFmtId="0" fontId="0" fillId="0" borderId="0" xfId="0"/>
    <xf numFmtId="0" fontId="6" fillId="0" borderId="1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1" xfId="0" applyFont="1" applyBorder="1"/>
    <xf numFmtId="0" fontId="10" fillId="0" borderId="0" xfId="0" applyFont="1"/>
    <xf numFmtId="4" fontId="9" fillId="2" borderId="16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3" fillId="0" borderId="1" xfId="0" applyFont="1" applyBorder="1"/>
    <xf numFmtId="0" fontId="8" fillId="0" borderId="0" xfId="0" applyFont="1" applyAlignment="1">
      <alignment horizontal="right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/>
    <xf numFmtId="0" fontId="15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8" fillId="2" borderId="15" xfId="0" applyFont="1" applyFill="1" applyBorder="1"/>
    <xf numFmtId="4" fontId="14" fillId="2" borderId="22" xfId="0" applyNumberFormat="1" applyFont="1" applyFill="1" applyBorder="1" applyAlignment="1">
      <alignment horizontal="right" vertical="center"/>
    </xf>
    <xf numFmtId="4" fontId="14" fillId="2" borderId="16" xfId="0" applyNumberFormat="1" applyFont="1" applyFill="1" applyBorder="1" applyAlignment="1">
      <alignment horizontal="right" vertical="center"/>
    </xf>
    <xf numFmtId="4" fontId="5" fillId="2" borderId="15" xfId="0" applyNumberFormat="1" applyFont="1" applyFill="1" applyBorder="1" applyAlignment="1">
      <alignment horizontal="right" vertical="center"/>
    </xf>
    <xf numFmtId="4" fontId="9" fillId="2" borderId="24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right" vertical="center" wrapText="1"/>
    </xf>
    <xf numFmtId="4" fontId="1" fillId="3" borderId="4" xfId="0" quotePrefix="1" applyNumberFormat="1" applyFont="1" applyFill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right" vertical="center" wrapText="1"/>
    </xf>
    <xf numFmtId="4" fontId="1" fillId="3" borderId="9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4" fontId="1" fillId="3" borderId="9" xfId="0" quotePrefix="1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right" vertical="center"/>
    </xf>
    <xf numFmtId="4" fontId="1" fillId="3" borderId="1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4" fontId="1" fillId="3" borderId="10" xfId="0" applyNumberFormat="1" applyFont="1" applyFill="1" applyBorder="1" applyAlignment="1">
      <alignment horizontal="right" vertical="center"/>
    </xf>
    <xf numFmtId="4" fontId="1" fillId="3" borderId="17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4" fontId="7" fillId="3" borderId="9" xfId="0" applyNumberFormat="1" applyFont="1" applyFill="1" applyBorder="1" applyAlignment="1">
      <alignment horizontal="right" vertical="center"/>
    </xf>
    <xf numFmtId="4" fontId="7" fillId="3" borderId="11" xfId="0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left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4" fontId="5" fillId="2" borderId="23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right" vertical="center" wrapText="1"/>
    </xf>
    <xf numFmtId="9" fontId="8" fillId="0" borderId="0" xfId="1" applyFont="1" applyBorder="1" applyAlignment="1" applyProtection="1">
      <alignment horizontal="center"/>
    </xf>
    <xf numFmtId="9" fontId="3" fillId="3" borderId="9" xfId="1" applyFont="1" applyFill="1" applyBorder="1" applyAlignment="1" applyProtection="1">
      <alignment horizontal="right" vertical="center"/>
    </xf>
    <xf numFmtId="0" fontId="8" fillId="3" borderId="9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8" fillId="3" borderId="6" xfId="0" applyFont="1" applyFill="1" applyBorder="1"/>
    <xf numFmtId="0" fontId="8" fillId="3" borderId="18" xfId="0" applyFont="1" applyFill="1" applyBorder="1"/>
    <xf numFmtId="0" fontId="8" fillId="3" borderId="12" xfId="0" applyFont="1" applyFill="1" applyBorder="1"/>
    <xf numFmtId="0" fontId="4" fillId="0" borderId="0" xfId="0" applyFont="1" applyAlignment="1">
      <alignment horizontal="center" vertical="top"/>
    </xf>
    <xf numFmtId="0" fontId="1" fillId="3" borderId="2" xfId="0" applyFont="1" applyFill="1" applyBorder="1" applyAlignment="1">
      <alignment horizontal="left" vertical="center" wrapText="1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" fillId="3" borderId="7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1" fillId="0" borderId="9" xfId="0" applyFont="1" applyBorder="1" applyAlignment="1" applyProtection="1">
      <alignment horizontal="left"/>
      <protection locked="0"/>
    </xf>
    <xf numFmtId="0" fontId="6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9" fontId="6" fillId="4" borderId="9" xfId="0" applyNumberFormat="1" applyFont="1" applyFill="1" applyBorder="1" applyAlignment="1" applyProtection="1">
      <alignment horizontal="right"/>
      <protection locked="0"/>
    </xf>
    <xf numFmtId="0" fontId="1" fillId="3" borderId="14" xfId="0" applyFont="1" applyFill="1" applyBorder="1" applyAlignment="1">
      <alignment horizontal="right" vertical="center" wrapText="1"/>
    </xf>
    <xf numFmtId="3" fontId="1" fillId="0" borderId="1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3" fontId="1" fillId="0" borderId="9" xfId="0" applyNumberFormat="1" applyFont="1" applyBorder="1" applyAlignment="1" applyProtection="1">
      <alignment vertical="center"/>
      <protection locked="0"/>
    </xf>
    <xf numFmtId="4" fontId="1" fillId="3" borderId="9" xfId="0" applyNumberFormat="1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4" fontId="1" fillId="3" borderId="14" xfId="0" applyNumberFormat="1" applyFont="1" applyFill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3" fontId="1" fillId="0" borderId="14" xfId="0" applyNumberFormat="1" applyFont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3" fontId="1" fillId="0" borderId="9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1">
    <dxf>
      <font>
        <color theme="6" tint="0.59996337778862885"/>
      </font>
      <fill>
        <patternFill>
          <bgColor theme="6" tint="0.59996337778862885"/>
        </patternFill>
      </fill>
    </dxf>
  </dxfs>
  <tableStyles count="0" defaultTableStyle="TableStyleMedium9" defaultPivotStyle="PivotStyleLight16"/>
  <colors>
    <mruColors>
      <color rgb="FFFFEDA3"/>
      <color rgb="FFFFDD4B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80012</xdr:colOff>
      <xdr:row>1</xdr:row>
      <xdr:rowOff>49532</xdr:rowOff>
    </xdr:from>
    <xdr:to>
      <xdr:col>1</xdr:col>
      <xdr:colOff>1279909</xdr:colOff>
      <xdr:row>4</xdr:row>
      <xdr:rowOff>233480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8E1614-9B62-4858-BB09-17C9792B7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" r="372"/>
        <a:stretch/>
      </xdr:blipFill>
      <xdr:spPr>
        <a:xfrm>
          <a:off x="461012" y="430532"/>
          <a:ext cx="1199897" cy="931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131767</xdr:colOff>
      <xdr:row>1</xdr:row>
      <xdr:rowOff>0</xdr:rowOff>
    </xdr:from>
    <xdr:to>
      <xdr:col>1</xdr:col>
      <xdr:colOff>1336203</xdr:colOff>
      <xdr:row>4</xdr:row>
      <xdr:rowOff>197612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9020B-0CC1-41CD-A427-B51F54DAC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2767" y="381000"/>
          <a:ext cx="1204436" cy="9278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131767</xdr:colOff>
      <xdr:row>1</xdr:row>
      <xdr:rowOff>0</xdr:rowOff>
    </xdr:from>
    <xdr:to>
      <xdr:col>1</xdr:col>
      <xdr:colOff>1336203</xdr:colOff>
      <xdr:row>4</xdr:row>
      <xdr:rowOff>197612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9CE0A3-9019-40D1-92D0-593EDEC22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2767" y="381000"/>
          <a:ext cx="1204436" cy="9278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131767</xdr:colOff>
      <xdr:row>1</xdr:row>
      <xdr:rowOff>0</xdr:rowOff>
    </xdr:from>
    <xdr:to>
      <xdr:col>1</xdr:col>
      <xdr:colOff>1336203</xdr:colOff>
      <xdr:row>4</xdr:row>
      <xdr:rowOff>197612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CD3B65-A4D4-41C4-83B3-D67C5777B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2767" y="381000"/>
          <a:ext cx="1204436" cy="9278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</xdr:colOff>
      <xdr:row>1</xdr:row>
      <xdr:rowOff>19147</xdr:rowOff>
    </xdr:from>
    <xdr:to>
      <xdr:col>1</xdr:col>
      <xdr:colOff>1208897</xdr:colOff>
      <xdr:row>4</xdr:row>
      <xdr:rowOff>207491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9615B8-B926-49E4-937E-C85D67FE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6" y="400147"/>
          <a:ext cx="1208891" cy="931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Concurrencia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D27D-0409-4B6B-A01A-C2A932B1A8ED}">
  <sheetPr>
    <pageSetUpPr fitToPage="1"/>
  </sheetPr>
  <dimension ref="B1:K38"/>
  <sheetViews>
    <sheetView showGridLines="0" showZeros="0" tabSelected="1" defaultGridColor="0" colorId="18" zoomScaleNormal="100" zoomScaleSheetLayoutView="100" zoomScalePageLayoutView="40" workbookViewId="0">
      <selection activeCell="C3" sqref="C3"/>
    </sheetView>
  </sheetViews>
  <sheetFormatPr baseColWidth="10" defaultRowHeight="16.5" x14ac:dyDescent="0.3"/>
  <cols>
    <col min="1" max="1" width="5.7109375" style="9" customWidth="1"/>
    <col min="2" max="2" width="38.7109375" style="2" customWidth="1"/>
    <col min="3" max="3" width="80.7109375" style="2" customWidth="1"/>
    <col min="4" max="4" width="18.7109375" style="9" customWidth="1"/>
    <col min="5" max="5" width="6" style="10" customWidth="1"/>
    <col min="6" max="6" width="4.85546875" style="9" customWidth="1"/>
    <col min="7" max="7" width="26.42578125" style="9" bestFit="1" customWidth="1"/>
    <col min="8" max="8" width="5" style="9" customWidth="1"/>
    <col min="9" max="16384" width="11.42578125" style="9"/>
  </cols>
  <sheetData>
    <row r="1" spans="2:8" ht="30" customHeight="1" x14ac:dyDescent="0.3">
      <c r="B1" s="4"/>
      <c r="D1" s="104" t="s">
        <v>100</v>
      </c>
      <c r="E1" s="4"/>
    </row>
    <row r="2" spans="2:8" ht="20.100000000000001" customHeight="1" x14ac:dyDescent="0.3">
      <c r="B2" s="9"/>
      <c r="C2" s="23" t="s">
        <v>78</v>
      </c>
      <c r="E2" s="9"/>
      <c r="G2" s="9" t="s">
        <v>75</v>
      </c>
    </row>
    <row r="3" spans="2:8" ht="20.100000000000001" customHeight="1" x14ac:dyDescent="0.3">
      <c r="B3" s="13" t="s">
        <v>52</v>
      </c>
      <c r="C3" s="98"/>
      <c r="E3" s="9"/>
      <c r="G3" s="81" t="s">
        <v>32</v>
      </c>
      <c r="H3" s="101" t="s">
        <v>3</v>
      </c>
    </row>
    <row r="4" spans="2:8" ht="20.100000000000001" customHeight="1" x14ac:dyDescent="0.3">
      <c r="B4" s="13" t="s">
        <v>25</v>
      </c>
      <c r="C4" s="98"/>
      <c r="E4" s="9"/>
      <c r="G4" s="82" t="s">
        <v>33</v>
      </c>
      <c r="H4" s="102" t="s">
        <v>3</v>
      </c>
    </row>
    <row r="5" spans="2:8" ht="20.100000000000001" customHeight="1" x14ac:dyDescent="0.3">
      <c r="B5" s="13" t="s">
        <v>24</v>
      </c>
      <c r="C5" s="98"/>
      <c r="E5" s="9"/>
      <c r="G5" s="82" t="s">
        <v>34</v>
      </c>
      <c r="H5" s="102" t="s">
        <v>3</v>
      </c>
    </row>
    <row r="6" spans="2:8" ht="20.100000000000001" customHeight="1" x14ac:dyDescent="0.3">
      <c r="B6" s="13" t="s">
        <v>26</v>
      </c>
      <c r="C6" s="98" t="s">
        <v>32</v>
      </c>
      <c r="E6" s="9"/>
      <c r="G6" s="82" t="s">
        <v>35</v>
      </c>
      <c r="H6" s="102" t="s">
        <v>3</v>
      </c>
    </row>
    <row r="7" spans="2:8" ht="20.100000000000001" customHeight="1" x14ac:dyDescent="0.3">
      <c r="B7" s="9"/>
      <c r="C7" s="9"/>
      <c r="D7" s="80" t="s">
        <v>54</v>
      </c>
      <c r="E7" s="9"/>
      <c r="G7" s="82" t="s">
        <v>36</v>
      </c>
      <c r="H7" s="102" t="s">
        <v>3</v>
      </c>
    </row>
    <row r="8" spans="2:8" ht="20.100000000000001" customHeight="1" x14ac:dyDescent="0.3">
      <c r="B8" s="62"/>
      <c r="C8" s="63"/>
      <c r="D8" s="60" t="s">
        <v>30</v>
      </c>
      <c r="E8" s="105">
        <v>0.1</v>
      </c>
      <c r="G8" s="82" t="s">
        <v>37</v>
      </c>
      <c r="H8" s="102" t="s">
        <v>3</v>
      </c>
    </row>
    <row r="9" spans="2:8" ht="20.100000000000001" customHeight="1" x14ac:dyDescent="0.3">
      <c r="B9" s="64"/>
      <c r="C9" s="65"/>
      <c r="D9" s="60" t="s">
        <v>27</v>
      </c>
      <c r="E9" s="105">
        <v>0</v>
      </c>
      <c r="G9" s="82" t="s">
        <v>51</v>
      </c>
      <c r="H9" s="102" t="s">
        <v>3</v>
      </c>
    </row>
    <row r="10" spans="2:8" ht="20.100000000000001" customHeight="1" x14ac:dyDescent="0.3">
      <c r="B10" s="64"/>
      <c r="C10" s="65"/>
      <c r="D10" s="60" t="s">
        <v>28</v>
      </c>
      <c r="E10" s="105">
        <v>0.05</v>
      </c>
      <c r="G10" s="82" t="s">
        <v>68</v>
      </c>
      <c r="H10" s="102" t="s">
        <v>3</v>
      </c>
    </row>
    <row r="11" spans="2:8" ht="20.100000000000001" customHeight="1" x14ac:dyDescent="0.3">
      <c r="B11" s="64"/>
      <c r="C11" s="65"/>
      <c r="D11" s="60" t="s">
        <v>57</v>
      </c>
      <c r="E11" s="78">
        <f>SUM(E8:E10)</f>
        <v>0.15000000000000002</v>
      </c>
      <c r="G11" s="82" t="s">
        <v>38</v>
      </c>
      <c r="H11" s="102" t="s">
        <v>3</v>
      </c>
    </row>
    <row r="12" spans="2:8" ht="20.100000000000001" customHeight="1" x14ac:dyDescent="0.3">
      <c r="E12" s="77"/>
      <c r="G12" s="82" t="s">
        <v>39</v>
      </c>
      <c r="H12" s="102" t="s">
        <v>4</v>
      </c>
    </row>
    <row r="13" spans="2:8" ht="20.100000000000001" customHeight="1" x14ac:dyDescent="0.3">
      <c r="B13" s="79" t="s">
        <v>76</v>
      </c>
      <c r="C13" s="100" t="s">
        <v>91</v>
      </c>
      <c r="E13" s="88" t="s">
        <v>4</v>
      </c>
      <c r="G13" s="82" t="s">
        <v>40</v>
      </c>
      <c r="H13" s="102" t="s">
        <v>4</v>
      </c>
    </row>
    <row r="14" spans="2:8" ht="20.100000000000001" customHeight="1" x14ac:dyDescent="0.3">
      <c r="E14" s="89" t="s">
        <v>3</v>
      </c>
      <c r="G14" s="82" t="s">
        <v>41</v>
      </c>
      <c r="H14" s="102" t="s">
        <v>4</v>
      </c>
    </row>
    <row r="15" spans="2:8" ht="20.100000000000001" customHeight="1" x14ac:dyDescent="0.3">
      <c r="G15" s="82" t="s">
        <v>42</v>
      </c>
      <c r="H15" s="102" t="s">
        <v>4</v>
      </c>
    </row>
    <row r="16" spans="2:8" ht="20.100000000000001" customHeight="1" x14ac:dyDescent="0.3">
      <c r="G16" s="82" t="s">
        <v>43</v>
      </c>
      <c r="H16" s="102" t="s">
        <v>4</v>
      </c>
    </row>
    <row r="17" spans="4:11" ht="20.100000000000001" customHeight="1" x14ac:dyDescent="0.3">
      <c r="G17" s="82" t="s">
        <v>44</v>
      </c>
      <c r="H17" s="102" t="s">
        <v>3</v>
      </c>
    </row>
    <row r="18" spans="4:11" ht="20.100000000000001" customHeight="1" x14ac:dyDescent="0.3">
      <c r="G18" s="82" t="s">
        <v>45</v>
      </c>
      <c r="H18" s="102" t="s">
        <v>3</v>
      </c>
    </row>
    <row r="19" spans="4:11" ht="20.100000000000001" customHeight="1" x14ac:dyDescent="0.3">
      <c r="G19" s="82" t="s">
        <v>46</v>
      </c>
      <c r="H19" s="102" t="s">
        <v>4</v>
      </c>
    </row>
    <row r="20" spans="4:11" ht="20.100000000000001" customHeight="1" x14ac:dyDescent="0.3">
      <c r="G20" s="82" t="s">
        <v>47</v>
      </c>
      <c r="H20" s="102" t="s">
        <v>4</v>
      </c>
    </row>
    <row r="21" spans="4:11" ht="20.100000000000001" customHeight="1" x14ac:dyDescent="0.3">
      <c r="G21" s="82" t="s">
        <v>48</v>
      </c>
      <c r="H21" s="102" t="s">
        <v>4</v>
      </c>
    </row>
    <row r="22" spans="4:11" ht="20.100000000000001" customHeight="1" x14ac:dyDescent="0.3">
      <c r="G22" s="82" t="s">
        <v>49</v>
      </c>
      <c r="H22" s="102" t="s">
        <v>4</v>
      </c>
    </row>
    <row r="23" spans="4:11" ht="20.100000000000001" customHeight="1" x14ac:dyDescent="0.3">
      <c r="G23" s="82" t="s">
        <v>50</v>
      </c>
      <c r="H23" s="102" t="s">
        <v>3</v>
      </c>
    </row>
    <row r="24" spans="4:11" ht="20.100000000000001" customHeight="1" x14ac:dyDescent="0.3">
      <c r="G24" s="83" t="s">
        <v>53</v>
      </c>
      <c r="H24" s="103" t="s">
        <v>3</v>
      </c>
    </row>
    <row r="25" spans="4:11" ht="20.100000000000001" customHeight="1" x14ac:dyDescent="0.3"/>
    <row r="26" spans="4:11" ht="20.100000000000001" customHeight="1" x14ac:dyDescent="0.3"/>
    <row r="27" spans="4:11" ht="20.100000000000001" customHeight="1" x14ac:dyDescent="0.3"/>
    <row r="28" spans="4:11" ht="20.100000000000001" customHeight="1" x14ac:dyDescent="0.3"/>
    <row r="29" spans="4:11" ht="20.100000000000001" customHeight="1" x14ac:dyDescent="0.3"/>
    <row r="30" spans="4:11" ht="20.100000000000001" customHeight="1" x14ac:dyDescent="0.3"/>
    <row r="31" spans="4:11" s="2" customFormat="1" ht="20.100000000000001" customHeight="1" x14ac:dyDescent="0.3">
      <c r="D31" s="9"/>
      <c r="E31" s="10"/>
      <c r="F31" s="9"/>
      <c r="G31" s="9"/>
      <c r="H31" s="9"/>
      <c r="I31" s="9"/>
      <c r="J31" s="9"/>
      <c r="K31" s="9"/>
    </row>
    <row r="32" spans="4:11" s="2" customFormat="1" ht="20.100000000000001" customHeight="1" x14ac:dyDescent="0.3">
      <c r="D32" s="9"/>
      <c r="E32" s="10"/>
      <c r="F32" s="9"/>
      <c r="G32" s="9"/>
      <c r="H32" s="9"/>
      <c r="I32" s="9"/>
      <c r="J32" s="9"/>
      <c r="K32" s="9"/>
    </row>
    <row r="33" spans="4:11" s="2" customFormat="1" ht="20.100000000000001" customHeight="1" x14ac:dyDescent="0.3">
      <c r="D33" s="9"/>
      <c r="E33" s="10"/>
      <c r="F33" s="9"/>
      <c r="G33" s="9"/>
      <c r="H33" s="9"/>
      <c r="I33" s="9"/>
      <c r="J33" s="9"/>
      <c r="K33" s="9"/>
    </row>
    <row r="34" spans="4:11" s="2" customFormat="1" ht="20.100000000000001" customHeight="1" x14ac:dyDescent="0.3">
      <c r="D34" s="9"/>
      <c r="E34" s="10"/>
      <c r="F34" s="9"/>
      <c r="G34" s="9"/>
      <c r="H34" s="9"/>
      <c r="I34" s="9"/>
      <c r="J34" s="9"/>
      <c r="K34" s="9"/>
    </row>
    <row r="35" spans="4:11" s="2" customFormat="1" ht="20.100000000000001" customHeight="1" x14ac:dyDescent="0.3">
      <c r="D35" s="9"/>
      <c r="E35" s="10"/>
      <c r="F35" s="9"/>
      <c r="G35" s="9"/>
      <c r="H35" s="9"/>
      <c r="I35" s="9"/>
      <c r="J35" s="9"/>
      <c r="K35" s="9"/>
    </row>
    <row r="36" spans="4:11" s="2" customFormat="1" ht="20.100000000000001" customHeight="1" x14ac:dyDescent="0.3">
      <c r="D36" s="9"/>
      <c r="E36" s="10"/>
      <c r="F36" s="9"/>
      <c r="G36" s="9"/>
      <c r="H36" s="9"/>
      <c r="I36" s="9"/>
      <c r="J36" s="9"/>
      <c r="K36" s="9"/>
    </row>
    <row r="37" spans="4:11" s="2" customFormat="1" ht="20.100000000000001" customHeight="1" x14ac:dyDescent="0.3">
      <c r="D37" s="9"/>
      <c r="E37" s="10"/>
      <c r="F37" s="9"/>
      <c r="G37" s="9"/>
      <c r="H37" s="9"/>
      <c r="I37" s="9"/>
      <c r="J37" s="9"/>
      <c r="K37" s="9"/>
    </row>
    <row r="38" spans="4:11" s="2" customFormat="1" ht="20.100000000000001" customHeight="1" x14ac:dyDescent="0.3">
      <c r="D38" s="9"/>
      <c r="E38" s="10"/>
      <c r="F38" s="9"/>
      <c r="G38" s="9"/>
      <c r="H38" s="9"/>
      <c r="I38" s="9"/>
      <c r="J38" s="9"/>
      <c r="K38" s="9"/>
    </row>
  </sheetData>
  <sheetProtection algorithmName="SHA-512" hashValue="Eu3TD5w+6V5b3GNIYhB5Wq6Y6ml6+nyKWIRjcUTGpr4OyX0rtCYkvn+OUxnifCV7DGmeM09/Y5icrJl/crAb0A==" saltValue="8xehFvG3/NMZ/rpm+iow5g==" spinCount="100000" sheet="1" objects="1" scenarios="1" formatCells="0" formatColumns="0" formatRows="0" selectLockedCells="1" sort="0"/>
  <dataConsolidate/>
  <dataValidations count="1">
    <dataValidation type="list" allowBlank="1" showInputMessage="1" showErrorMessage="1" sqref="C6" xr:uid="{CF215C99-5EED-4F50-B324-54AF7BED96FD}">
      <formula1>$G$3:$G$24</formula1>
    </dataValidation>
  </dataValidations>
  <printOptions horizontalCentered="1"/>
  <pageMargins left="0.55000000000000004" right="0.5" top="0.74803149606299213" bottom="0.74803149606299213" header="0.31496062992125984" footer="0.31496062992125984"/>
  <pageSetup paperSize="9" scale="83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7"/>
  <sheetViews>
    <sheetView showGridLines="0" showZeros="0" defaultGridColor="0" colorId="18" zoomScale="90" zoomScaleNormal="90" zoomScaleSheetLayoutView="100" zoomScalePageLayoutView="40" workbookViewId="0">
      <selection activeCell="E22" sqref="E22"/>
    </sheetView>
  </sheetViews>
  <sheetFormatPr baseColWidth="10" defaultRowHeight="16.5" x14ac:dyDescent="0.3"/>
  <cols>
    <col min="1" max="1" width="5.7109375" style="9" customWidth="1"/>
    <col min="2" max="2" width="38.7109375" style="2" customWidth="1"/>
    <col min="3" max="3" width="80.7109375" style="2" customWidth="1"/>
    <col min="4" max="4" width="18.7109375" style="9" customWidth="1"/>
    <col min="5" max="5" width="12.7109375" style="10" customWidth="1"/>
    <col min="6" max="6" width="12.7109375" style="11" customWidth="1"/>
    <col min="7" max="10" width="14.7109375" style="9" customWidth="1"/>
    <col min="11" max="16384" width="11.42578125" style="9"/>
  </cols>
  <sheetData>
    <row r="1" spans="2:11" ht="30" customHeight="1" x14ac:dyDescent="0.3">
      <c r="B1" s="4"/>
      <c r="D1" s="8" t="str">
        <f>+'Datos iniciales'!D1</f>
        <v xml:space="preserve">CALCULO DE TARIFAS ECU MADRID 2026 </v>
      </c>
      <c r="E1" s="4"/>
      <c r="F1" s="4"/>
    </row>
    <row r="2" spans="2:11" ht="20.100000000000001" customHeight="1" x14ac:dyDescent="0.3">
      <c r="B2" s="13" t="s">
        <v>52</v>
      </c>
      <c r="C2" s="121">
        <f>+'Datos iniciales'!C3</f>
        <v>0</v>
      </c>
      <c r="D2" s="121"/>
      <c r="E2" s="4"/>
      <c r="F2" s="4"/>
    </row>
    <row r="3" spans="2:11" ht="20.100000000000001" customHeight="1" x14ac:dyDescent="0.3">
      <c r="B3" s="13" t="s">
        <v>25</v>
      </c>
      <c r="C3" s="121">
        <f>+'Datos iniciales'!C4</f>
        <v>0</v>
      </c>
      <c r="D3" s="121"/>
      <c r="E3" s="99"/>
      <c r="F3" s="99"/>
    </row>
    <row r="4" spans="2:11" ht="20.100000000000001" customHeight="1" x14ac:dyDescent="0.3">
      <c r="B4" s="13" t="s">
        <v>24</v>
      </c>
      <c r="C4" s="121">
        <f>+'Datos iniciales'!C5</f>
        <v>0</v>
      </c>
      <c r="D4" s="121"/>
      <c r="E4" s="99"/>
      <c r="F4" s="99"/>
    </row>
    <row r="5" spans="2:11" ht="20.100000000000001" customHeight="1" x14ac:dyDescent="0.3">
      <c r="B5" s="13" t="s">
        <v>26</v>
      </c>
      <c r="C5" s="121" t="str">
        <f>+'Datos iniciales'!C6</f>
        <v>01 - Centro</v>
      </c>
      <c r="D5" s="121"/>
      <c r="E5" s="99"/>
      <c r="F5" s="99"/>
    </row>
    <row r="6" spans="2:11" ht="35.1" customHeight="1" x14ac:dyDescent="0.3">
      <c r="B6" s="23" t="s">
        <v>83</v>
      </c>
      <c r="C6" s="9"/>
      <c r="E6" s="9"/>
      <c r="F6" s="15"/>
    </row>
    <row r="7" spans="2:11" ht="27" customHeight="1" x14ac:dyDescent="0.3">
      <c r="B7" s="36" t="s">
        <v>7</v>
      </c>
      <c r="C7" s="37" t="s">
        <v>8</v>
      </c>
      <c r="D7" s="38"/>
      <c r="E7" s="39" t="s">
        <v>0</v>
      </c>
      <c r="F7" s="40" t="s">
        <v>2</v>
      </c>
      <c r="K7" s="21"/>
    </row>
    <row r="8" spans="2:11" ht="45" customHeight="1" x14ac:dyDescent="0.3">
      <c r="B8" s="117" t="s">
        <v>21</v>
      </c>
      <c r="C8" s="41" t="s">
        <v>88</v>
      </c>
      <c r="D8" s="42" t="s">
        <v>15</v>
      </c>
      <c r="E8" s="86"/>
      <c r="F8" s="43">
        <f>600*AND(E8&gt;0,E8&lt;=50)+800*AND(E8&gt;50,E8&lt;=100)+950*AND(E8&gt;100,E8&lt;=150)+1060*AND(E8&gt;150,E8&lt;=200)+1140*AND(E8&gt;200,E8&lt;=250)+1250*AND(E8&gt;250,E8&lt;=300)+(1250+1.75*(E8-300))*(E8&gt;300)</f>
        <v>0</v>
      </c>
      <c r="G8" s="108"/>
      <c r="K8" s="21"/>
    </row>
    <row r="9" spans="2:11" ht="20.100000000000001" customHeight="1" x14ac:dyDescent="0.3">
      <c r="B9" s="118"/>
      <c r="C9" s="45" t="s">
        <v>31</v>
      </c>
      <c r="D9" s="46" t="s">
        <v>15</v>
      </c>
      <c r="E9" s="86"/>
      <c r="F9" s="44" t="str">
        <f>+IF(E9&gt;0,1750+2.25*E9,"")</f>
        <v/>
      </c>
      <c r="G9" s="108"/>
      <c r="K9" s="21"/>
    </row>
    <row r="10" spans="2:11" ht="20.100000000000001" customHeight="1" x14ac:dyDescent="0.3">
      <c r="B10" s="118"/>
      <c r="C10" s="45" t="s">
        <v>59</v>
      </c>
      <c r="D10" s="46" t="s">
        <v>15</v>
      </c>
      <c r="E10" s="86"/>
      <c r="F10" s="44" t="str">
        <f>+IF(E10&gt;0,1950+1.9*E10,"")</f>
        <v/>
      </c>
      <c r="G10" s="108"/>
      <c r="K10" s="21"/>
    </row>
    <row r="11" spans="2:11" ht="30" customHeight="1" x14ac:dyDescent="0.3">
      <c r="B11" s="118"/>
      <c r="C11" s="41" t="s">
        <v>29</v>
      </c>
      <c r="D11" s="41" t="s">
        <v>23</v>
      </c>
      <c r="E11" s="111"/>
      <c r="F11" s="112">
        <f>200*AND(E11&gt;0,E11&lt;251)+250*AND(E11&gt;250,E11&lt;501)+300*AND(E11&gt;500,E11&lt;1001)+400*AND(E11&gt;1000,E11&lt;2001)+(400+0*(E11-2000))*(E11&gt;2000)</f>
        <v>0</v>
      </c>
      <c r="G11" s="109"/>
      <c r="K11" s="21"/>
    </row>
    <row r="12" spans="2:11" ht="20.100000000000001" customHeight="1" x14ac:dyDescent="0.3">
      <c r="B12" s="118"/>
      <c r="C12" s="45" t="s">
        <v>85</v>
      </c>
      <c r="D12" s="48"/>
      <c r="E12" s="86" t="s">
        <v>3</v>
      </c>
      <c r="F12" s="44">
        <f>215*(E12="Si")</f>
        <v>0</v>
      </c>
      <c r="G12" s="116"/>
      <c r="K12" s="21"/>
    </row>
    <row r="13" spans="2:11" ht="20.100000000000001" customHeight="1" x14ac:dyDescent="0.3">
      <c r="B13" s="118"/>
      <c r="C13" s="45" t="s">
        <v>86</v>
      </c>
      <c r="D13" s="46" t="s">
        <v>12</v>
      </c>
      <c r="E13" s="86" t="s">
        <v>3</v>
      </c>
      <c r="F13" s="44">
        <f>(E13="Si")*380</f>
        <v>0</v>
      </c>
      <c r="G13" s="116"/>
      <c r="K13" s="21"/>
    </row>
    <row r="14" spans="2:11" ht="30" customHeight="1" x14ac:dyDescent="0.3">
      <c r="B14" s="118"/>
      <c r="C14" s="45" t="s">
        <v>89</v>
      </c>
      <c r="D14" s="46" t="s">
        <v>12</v>
      </c>
      <c r="E14" s="86" t="s">
        <v>3</v>
      </c>
      <c r="F14" s="44">
        <f>(E14="Si")*200</f>
        <v>0</v>
      </c>
      <c r="G14" s="116"/>
    </row>
    <row r="15" spans="2:11" ht="20.100000000000001" customHeight="1" x14ac:dyDescent="0.3">
      <c r="B15" s="119"/>
      <c r="C15" s="45" t="s">
        <v>90</v>
      </c>
      <c r="D15" s="46" t="s">
        <v>12</v>
      </c>
      <c r="E15" s="86" t="s">
        <v>3</v>
      </c>
      <c r="F15" s="44">
        <f>(E15="Si")*380</f>
        <v>0</v>
      </c>
      <c r="G15" s="116"/>
    </row>
    <row r="16" spans="2:11" ht="30" customHeight="1" x14ac:dyDescent="0.3">
      <c r="B16" s="49" t="s">
        <v>81</v>
      </c>
      <c r="C16" s="41" t="s">
        <v>82</v>
      </c>
      <c r="D16" s="46" t="s">
        <v>15</v>
      </c>
      <c r="E16" s="16"/>
      <c r="F16" s="50">
        <f>450*AND(E16&gt;0,E16&lt;=100)+(450+(E16-100)*1.1)*(E16&gt;100)</f>
        <v>0</v>
      </c>
      <c r="G16" s="109"/>
    </row>
    <row r="17" spans="2:7" ht="30" customHeight="1" x14ac:dyDescent="0.3">
      <c r="B17" s="117" t="s">
        <v>95</v>
      </c>
      <c r="C17" s="41" t="s">
        <v>96</v>
      </c>
      <c r="D17" s="46" t="s">
        <v>99</v>
      </c>
      <c r="E17" s="16" t="s">
        <v>3</v>
      </c>
      <c r="F17" s="47">
        <f>380*(E17="Si")</f>
        <v>0</v>
      </c>
      <c r="G17" s="109"/>
    </row>
    <row r="18" spans="2:7" ht="30" customHeight="1" thickBot="1" x14ac:dyDescent="0.35">
      <c r="B18" s="122"/>
      <c r="C18" s="113" t="s">
        <v>97</v>
      </c>
      <c r="D18" s="76" t="s">
        <v>98</v>
      </c>
      <c r="E18" s="17"/>
      <c r="F18" s="58">
        <f>200*E18</f>
        <v>0</v>
      </c>
      <c r="G18" s="109"/>
    </row>
    <row r="19" spans="2:7" ht="17.25" thickBot="1" x14ac:dyDescent="0.35"/>
    <row r="20" spans="2:7" ht="20.100000000000001" customHeight="1" thickBot="1" x14ac:dyDescent="0.35">
      <c r="B20" s="24"/>
      <c r="D20" s="25"/>
      <c r="E20" s="33" t="s">
        <v>13</v>
      </c>
      <c r="F20" s="5">
        <f>SUM(F8:F18)</f>
        <v>0</v>
      </c>
    </row>
    <row r="21" spans="2:7" ht="20.100000000000001" customHeight="1" x14ac:dyDescent="0.3">
      <c r="B21" s="14"/>
      <c r="C21" s="14"/>
      <c r="D21" s="22" t="s">
        <v>54</v>
      </c>
      <c r="E21" s="9"/>
      <c r="F21" s="9"/>
    </row>
    <row r="22" spans="2:7" ht="20.100000000000001" customHeight="1" x14ac:dyDescent="0.3">
      <c r="B22" s="62"/>
      <c r="C22" s="63"/>
      <c r="D22" s="60" t="s">
        <v>30</v>
      </c>
      <c r="E22" s="86" t="s">
        <v>3</v>
      </c>
      <c r="F22" s="68" t="str">
        <f>IF(E22="Si",-F20*'Datos iniciales'!E8,"")</f>
        <v/>
      </c>
    </row>
    <row r="23" spans="2:7" ht="20.100000000000001" customHeight="1" x14ac:dyDescent="0.3">
      <c r="B23" s="64"/>
      <c r="C23" s="65"/>
      <c r="D23" s="60" t="s">
        <v>27</v>
      </c>
      <c r="E23" s="86" t="s">
        <v>3</v>
      </c>
      <c r="F23" s="68" t="str">
        <f>IF(E23="Si",-F20*'Datos iniciales'!E9,"")</f>
        <v/>
      </c>
    </row>
    <row r="24" spans="2:7" ht="20.100000000000001" customHeight="1" thickBot="1" x14ac:dyDescent="0.35">
      <c r="B24" s="66"/>
      <c r="C24" s="67"/>
      <c r="D24" s="61" t="s">
        <v>28</v>
      </c>
      <c r="E24" s="17" t="s">
        <v>3</v>
      </c>
      <c r="F24" s="69" t="str">
        <f>IF(E24="Si",-F20*'Datos iniciales'!E10,"")</f>
        <v/>
      </c>
    </row>
    <row r="25" spans="2:7" ht="20.100000000000001" customHeight="1" x14ac:dyDescent="0.3">
      <c r="E25" s="26" t="s">
        <v>14</v>
      </c>
      <c r="F25" s="27">
        <f>SUM(F20:F24)</f>
        <v>0</v>
      </c>
    </row>
    <row r="26" spans="2:7" ht="20.100000000000001" customHeight="1" thickBot="1" x14ac:dyDescent="0.35">
      <c r="E26" s="27" t="s">
        <v>11</v>
      </c>
      <c r="F26" s="27">
        <f>+ROUND(F25*0.21,2)</f>
        <v>0</v>
      </c>
    </row>
    <row r="27" spans="2:7" ht="20.100000000000001" customHeight="1" thickBot="1" x14ac:dyDescent="0.35">
      <c r="C27" s="80" t="str">
        <f>+'Datos iniciales'!C13</f>
        <v>CCC Banco Sabadell: 0081-0569-88-0001943595</v>
      </c>
      <c r="D27" s="30"/>
      <c r="E27" s="31" t="s">
        <v>1</v>
      </c>
      <c r="F27" s="32">
        <f>SUM(F25:F26)</f>
        <v>0</v>
      </c>
    </row>
    <row r="28" spans="2:7" ht="20.100000000000001" customHeight="1" x14ac:dyDescent="0.3"/>
    <row r="29" spans="2:7" ht="20.100000000000001" customHeight="1" x14ac:dyDescent="0.3"/>
    <row r="30" spans="2:7" ht="20.100000000000001" customHeight="1" x14ac:dyDescent="0.3"/>
    <row r="31" spans="2:7" ht="20.100000000000001" customHeight="1" x14ac:dyDescent="0.3"/>
    <row r="32" spans="2:7" ht="30" customHeight="1" thickBot="1" x14ac:dyDescent="0.35">
      <c r="B32" s="96" t="s">
        <v>60</v>
      </c>
      <c r="C32" s="120" t="s">
        <v>87</v>
      </c>
      <c r="D32" s="120"/>
      <c r="E32" s="86" t="s">
        <v>3</v>
      </c>
      <c r="F32" s="44">
        <f>350*(E32="Si")</f>
        <v>0</v>
      </c>
      <c r="G32" s="110"/>
    </row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</sheetData>
  <sheetProtection algorithmName="SHA-512" hashValue="aRHmTahUt0r0YQW1GRnH7Tx6aWxaX+1FcLOD/YaLINP3gLs1sPtiiYYQZjuuAoUVDA+25vDAplmshqA40YFXxA==" saltValue="VAwY5wWK3BBxaZpr9K8jwQ==" spinCount="100000" sheet="1" formatCells="0" formatColumns="0" formatRows="0" insertHyperlinks="0" selectLockedCells="1" pivotTables="0"/>
  <dataConsolidate/>
  <mergeCells count="9">
    <mergeCell ref="G12:G13"/>
    <mergeCell ref="G14:G15"/>
    <mergeCell ref="B8:B15"/>
    <mergeCell ref="C32:D32"/>
    <mergeCell ref="C2:D2"/>
    <mergeCell ref="C3:D3"/>
    <mergeCell ref="C4:D4"/>
    <mergeCell ref="C5:D5"/>
    <mergeCell ref="B17:B18"/>
  </mergeCells>
  <phoneticPr fontId="18" type="noConversion"/>
  <dataValidations count="2">
    <dataValidation type="whole" operator="greaterThanOrEqual" allowBlank="1" showInputMessage="1" showErrorMessage="1" sqref="E8:E11 E16" xr:uid="{00000000-0002-0000-0000-000002000000}">
      <formula1>0</formula1>
    </dataValidation>
    <dataValidation type="whole" allowBlank="1" showInputMessage="1" showErrorMessage="1" sqref="E18" xr:uid="{78059F7F-B763-4617-A49C-B2E3AAE79D67}">
      <formula1>0</formula1>
      <formula2>10</formula2>
    </dataValidation>
  </dataValidations>
  <printOptions horizontalCentered="1"/>
  <pageMargins left="0.55118110236220474" right="0.51181102362204722" top="0.74803149606299213" bottom="0.74803149606299213" header="0.31496062992125984" footer="0.31496062992125984"/>
  <pageSetup paperSize="9" scale="8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xr:uid="{00000000-0002-0000-0000-000001000000}">
          <x14:formula1>
            <xm:f>'Datos iniciales'!$E$13:$E$14</xm:f>
          </x14:formula1>
          <xm:sqref>E12:E15 E22:E24 E32 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7"/>
  <sheetViews>
    <sheetView showGridLines="0" showZeros="0" defaultGridColor="0" colorId="18" zoomScale="90" zoomScaleNormal="90" zoomScaleSheetLayoutView="90" workbookViewId="0">
      <selection activeCell="E9" sqref="E9"/>
    </sheetView>
  </sheetViews>
  <sheetFormatPr baseColWidth="10" defaultRowHeight="16.5" x14ac:dyDescent="0.3"/>
  <cols>
    <col min="1" max="1" width="5.7109375" style="9" customWidth="1"/>
    <col min="2" max="2" width="38.7109375" style="2" customWidth="1"/>
    <col min="3" max="3" width="80.7109375" style="2" customWidth="1"/>
    <col min="4" max="4" width="18.7109375" style="9" customWidth="1"/>
    <col min="5" max="5" width="12.7109375" style="10" customWidth="1"/>
    <col min="6" max="6" width="12.7109375" style="11" customWidth="1"/>
    <col min="7" max="11" width="14.7109375" style="9" customWidth="1"/>
    <col min="12" max="12" width="13.28515625" style="9" customWidth="1"/>
    <col min="13" max="16384" width="11.42578125" style="9"/>
  </cols>
  <sheetData>
    <row r="1" spans="2:7" ht="30" customHeight="1" x14ac:dyDescent="0.3">
      <c r="B1" s="4"/>
      <c r="D1" s="8" t="str">
        <f>+'Datos iniciales'!D1</f>
        <v xml:space="preserve">CALCULO DE TARIFAS ECU MADRID 2026 </v>
      </c>
      <c r="E1" s="4"/>
      <c r="F1" s="4"/>
    </row>
    <row r="2" spans="2:7" ht="19.5" customHeight="1" x14ac:dyDescent="0.3">
      <c r="B2" s="13" t="s">
        <v>52</v>
      </c>
      <c r="C2" s="121">
        <f>+'Datos iniciales'!C3</f>
        <v>0</v>
      </c>
      <c r="D2" s="121"/>
      <c r="E2" s="4"/>
      <c r="F2" s="4"/>
    </row>
    <row r="3" spans="2:7" ht="19.5" customHeight="1" x14ac:dyDescent="0.3">
      <c r="B3" s="13" t="s">
        <v>25</v>
      </c>
      <c r="C3" s="121">
        <f>+'Datos iniciales'!C4</f>
        <v>0</v>
      </c>
      <c r="D3" s="121"/>
      <c r="E3" s="99"/>
      <c r="F3" s="99"/>
    </row>
    <row r="4" spans="2:7" ht="19.5" customHeight="1" x14ac:dyDescent="0.3">
      <c r="B4" s="13" t="s">
        <v>24</v>
      </c>
      <c r="C4" s="121">
        <f>+'Datos iniciales'!C5</f>
        <v>0</v>
      </c>
      <c r="D4" s="121"/>
      <c r="E4" s="99"/>
      <c r="F4" s="99"/>
    </row>
    <row r="5" spans="2:7" ht="19.5" customHeight="1" x14ac:dyDescent="0.3">
      <c r="B5" s="13" t="s">
        <v>26</v>
      </c>
      <c r="C5" s="121" t="str">
        <f>+'Datos iniciales'!C6</f>
        <v>01 - Centro</v>
      </c>
      <c r="D5" s="121"/>
      <c r="E5" s="99"/>
      <c r="F5" s="99"/>
    </row>
    <row r="6" spans="2:7" ht="35.1" customHeight="1" x14ac:dyDescent="0.3">
      <c r="B6" s="3" t="s">
        <v>84</v>
      </c>
      <c r="C6" s="1"/>
      <c r="D6" s="6"/>
      <c r="E6" s="19"/>
      <c r="F6" s="12"/>
    </row>
    <row r="7" spans="2:7" ht="25.5" x14ac:dyDescent="0.3">
      <c r="B7" s="51" t="s">
        <v>7</v>
      </c>
      <c r="C7" s="52" t="s">
        <v>8</v>
      </c>
      <c r="D7" s="53"/>
      <c r="E7" s="54" t="s">
        <v>0</v>
      </c>
      <c r="F7" s="55" t="s">
        <v>56</v>
      </c>
    </row>
    <row r="8" spans="2:7" ht="45" customHeight="1" x14ac:dyDescent="0.3">
      <c r="B8" s="56" t="s">
        <v>61</v>
      </c>
      <c r="C8" s="45" t="s">
        <v>79</v>
      </c>
      <c r="D8" s="91" t="s">
        <v>15</v>
      </c>
      <c r="E8" s="86"/>
      <c r="F8" s="43">
        <f>575*AND(E8&gt;0,E8&lt;51)+(575+3.3*(E8-50))*AND(E8&gt;50,E8&lt;101)+(740+2.7*(E8-100))*AND(E8&gt;100,E8&lt;201)+(1010+1*(E8-200))*(E8&gt;200)</f>
        <v>0</v>
      </c>
      <c r="G8" s="108"/>
    </row>
    <row r="9" spans="2:7" ht="30" customHeight="1" x14ac:dyDescent="0.3">
      <c r="B9" s="87" t="s">
        <v>62</v>
      </c>
      <c r="C9" s="45" t="s">
        <v>5</v>
      </c>
      <c r="D9" s="91" t="s">
        <v>15</v>
      </c>
      <c r="E9" s="20">
        <v>0</v>
      </c>
      <c r="F9" s="44">
        <f>1300*AND(E9&gt;0,E9&lt;201)+(1300+5.5*(E9-200))*AND(E9&gt;200,E9&lt;501)+(2950+1*(E9-500))*(E9&gt;500)</f>
        <v>0</v>
      </c>
      <c r="G9" s="108"/>
    </row>
    <row r="10" spans="2:7" ht="30" customHeight="1" x14ac:dyDescent="0.3">
      <c r="B10" s="117" t="s">
        <v>80</v>
      </c>
      <c r="C10" s="45" t="s">
        <v>9</v>
      </c>
      <c r="D10" s="46" t="s">
        <v>15</v>
      </c>
      <c r="E10" s="16">
        <v>0</v>
      </c>
      <c r="F10" s="47">
        <f>450*AND(E10&gt;0,E10&lt;101)+(450+1*(E10-100))*(E10&gt;100)</f>
        <v>0</v>
      </c>
      <c r="G10" s="108"/>
    </row>
    <row r="11" spans="2:7" ht="30" customHeight="1" x14ac:dyDescent="0.3">
      <c r="B11" s="118"/>
      <c r="C11" s="45" t="s">
        <v>58</v>
      </c>
      <c r="D11" s="57" t="s">
        <v>12</v>
      </c>
      <c r="E11" s="16"/>
      <c r="F11" s="47">
        <f>E11*390</f>
        <v>0</v>
      </c>
      <c r="G11" s="108"/>
    </row>
    <row r="12" spans="2:7" ht="20.100000000000001" customHeight="1" x14ac:dyDescent="0.3">
      <c r="B12" s="118"/>
      <c r="C12" s="45" t="s">
        <v>6</v>
      </c>
      <c r="D12" s="57" t="s">
        <v>10</v>
      </c>
      <c r="E12" s="16">
        <v>0</v>
      </c>
      <c r="F12" s="47">
        <f>E12*390</f>
        <v>0</v>
      </c>
      <c r="G12" s="108"/>
    </row>
    <row r="13" spans="2:7" ht="20.100000000000001" customHeight="1" x14ac:dyDescent="0.3">
      <c r="B13" s="119"/>
      <c r="C13" s="45" t="s">
        <v>16</v>
      </c>
      <c r="D13" s="57" t="s">
        <v>10</v>
      </c>
      <c r="E13" s="16">
        <v>0</v>
      </c>
      <c r="F13" s="47">
        <f>E13*225</f>
        <v>0</v>
      </c>
      <c r="G13" s="108"/>
    </row>
    <row r="14" spans="2:7" ht="20.100000000000001" customHeight="1" x14ac:dyDescent="0.3">
      <c r="B14" s="117" t="s">
        <v>92</v>
      </c>
      <c r="C14" s="85" t="s">
        <v>63</v>
      </c>
      <c r="D14" s="123" t="s">
        <v>65</v>
      </c>
      <c r="E14" s="125" t="s">
        <v>3</v>
      </c>
      <c r="F14" s="47">
        <f>IF(E14="Si",F9*0.4,0)</f>
        <v>0</v>
      </c>
      <c r="G14" s="108"/>
    </row>
    <row r="15" spans="2:7" ht="20.100000000000001" customHeight="1" x14ac:dyDescent="0.3">
      <c r="B15" s="119"/>
      <c r="C15" s="85" t="s">
        <v>64</v>
      </c>
      <c r="D15" s="124"/>
      <c r="E15" s="126"/>
      <c r="F15" s="47">
        <f>IF(E14="Si",F9*0.6,0)</f>
        <v>0</v>
      </c>
      <c r="G15" s="108"/>
    </row>
    <row r="16" spans="2:7" ht="30" customHeight="1" x14ac:dyDescent="0.3">
      <c r="B16" s="118" t="s">
        <v>95</v>
      </c>
      <c r="C16" s="114" t="s">
        <v>96</v>
      </c>
      <c r="D16" s="106" t="s">
        <v>99</v>
      </c>
      <c r="E16" s="107" t="s">
        <v>3</v>
      </c>
      <c r="F16" s="115">
        <f>380*(E16="Si")</f>
        <v>0</v>
      </c>
      <c r="G16" s="109"/>
    </row>
    <row r="17" spans="2:7" ht="30" customHeight="1" thickBot="1" x14ac:dyDescent="0.35">
      <c r="B17" s="122"/>
      <c r="C17" s="113" t="s">
        <v>97</v>
      </c>
      <c r="D17" s="76" t="s">
        <v>98</v>
      </c>
      <c r="E17" s="17"/>
      <c r="F17" s="58">
        <f>200*E17</f>
        <v>0</v>
      </c>
      <c r="G17" s="109"/>
    </row>
    <row r="18" spans="2:7" ht="17.25" thickBot="1" x14ac:dyDescent="0.35"/>
    <row r="19" spans="2:7" ht="20.100000000000001" customHeight="1" thickBot="1" x14ac:dyDescent="0.35">
      <c r="B19" s="9"/>
      <c r="C19" s="9"/>
      <c r="D19" s="25"/>
      <c r="E19" s="33" t="s">
        <v>13</v>
      </c>
      <c r="F19" s="5">
        <f>SUM(F8:F17)</f>
        <v>0</v>
      </c>
    </row>
    <row r="20" spans="2:7" ht="20.100000000000001" customHeight="1" x14ac:dyDescent="0.3">
      <c r="B20" s="9"/>
      <c r="C20" s="9"/>
      <c r="D20" s="59" t="s">
        <v>55</v>
      </c>
      <c r="E20" s="9"/>
      <c r="F20" s="9"/>
    </row>
    <row r="21" spans="2:7" ht="20.100000000000001" customHeight="1" x14ac:dyDescent="0.3">
      <c r="B21" s="62"/>
      <c r="C21" s="63"/>
      <c r="D21" s="68" t="s">
        <v>30</v>
      </c>
      <c r="E21" s="86" t="s">
        <v>3</v>
      </c>
      <c r="F21" s="68" t="str">
        <f>IF(E21="Si",-F19*'Datos iniciales'!E8,"")</f>
        <v/>
      </c>
    </row>
    <row r="22" spans="2:7" ht="20.100000000000001" customHeight="1" x14ac:dyDescent="0.3">
      <c r="B22" s="64"/>
      <c r="C22" s="65"/>
      <c r="D22" s="68" t="s">
        <v>27</v>
      </c>
      <c r="E22" s="86" t="s">
        <v>3</v>
      </c>
      <c r="F22" s="68" t="str">
        <f>IF(E22="Si",-F19*'Datos iniciales'!E9,"")</f>
        <v/>
      </c>
    </row>
    <row r="23" spans="2:7" ht="20.100000000000001" customHeight="1" thickBot="1" x14ac:dyDescent="0.35">
      <c r="B23" s="66"/>
      <c r="C23" s="67"/>
      <c r="D23" s="69" t="s">
        <v>28</v>
      </c>
      <c r="E23" s="17" t="s">
        <v>3</v>
      </c>
      <c r="F23" s="69" t="str">
        <f>IF(E23="Si",-F19*'Datos iniciales'!E10,"")</f>
        <v/>
      </c>
    </row>
    <row r="24" spans="2:7" ht="20.100000000000001" customHeight="1" x14ac:dyDescent="0.3">
      <c r="B24" s="9"/>
      <c r="C24" s="9"/>
      <c r="E24" s="26" t="s">
        <v>14</v>
      </c>
      <c r="F24" s="27">
        <f>SUM(F19:F23)</f>
        <v>0</v>
      </c>
    </row>
    <row r="25" spans="2:7" ht="20.100000000000001" customHeight="1" thickBot="1" x14ac:dyDescent="0.35">
      <c r="B25" s="9"/>
      <c r="C25" s="9"/>
      <c r="E25" s="27" t="s">
        <v>11</v>
      </c>
      <c r="F25" s="27">
        <f>+ROUND(F24*0.21,2)</f>
        <v>0</v>
      </c>
    </row>
    <row r="26" spans="2:7" ht="20.100000000000001" customHeight="1" thickBot="1" x14ac:dyDescent="0.35">
      <c r="B26" s="9"/>
      <c r="C26" s="80" t="str">
        <f>+'Datos iniciales'!C13</f>
        <v>CCC Banco Sabadell: 0081-0569-88-0001943595</v>
      </c>
      <c r="D26" s="30"/>
      <c r="E26" s="31" t="s">
        <v>1</v>
      </c>
      <c r="F26" s="32">
        <f>SUM(F24:F25)</f>
        <v>0</v>
      </c>
    </row>
    <row r="27" spans="2:7" ht="20.100000000000001" customHeight="1" x14ac:dyDescent="0.3"/>
    <row r="28" spans="2:7" ht="20.100000000000001" customHeight="1" x14ac:dyDescent="0.3"/>
    <row r="29" spans="2:7" ht="20.100000000000001" customHeight="1" x14ac:dyDescent="0.3">
      <c r="B29" s="9"/>
      <c r="C29" s="9"/>
    </row>
    <row r="30" spans="2:7" ht="20.100000000000001" customHeight="1" x14ac:dyDescent="0.3">
      <c r="B30" s="127" t="s">
        <v>22</v>
      </c>
      <c r="C30" s="45" t="s">
        <v>17</v>
      </c>
      <c r="D30" s="57" t="s">
        <v>10</v>
      </c>
      <c r="E30" s="16">
        <v>0</v>
      </c>
      <c r="F30" s="47">
        <f>E30*100</f>
        <v>0</v>
      </c>
    </row>
    <row r="31" spans="2:7" ht="20.100000000000001" customHeight="1" x14ac:dyDescent="0.3">
      <c r="B31" s="128"/>
      <c r="C31" s="45" t="s">
        <v>18</v>
      </c>
      <c r="D31" s="57" t="s">
        <v>10</v>
      </c>
      <c r="E31" s="16">
        <v>0</v>
      </c>
      <c r="F31" s="47">
        <f>E31*150</f>
        <v>0</v>
      </c>
    </row>
    <row r="32" spans="2:7" ht="20.100000000000001" customHeight="1" x14ac:dyDescent="0.3">
      <c r="B32" s="9"/>
      <c r="C32" s="9"/>
    </row>
    <row r="33" spans="2:6" ht="20.100000000000001" customHeight="1" x14ac:dyDescent="0.3">
      <c r="B33" s="9"/>
      <c r="C33" s="9"/>
      <c r="E33" s="9"/>
      <c r="F33" s="9"/>
    </row>
    <row r="34" spans="2:6" ht="20.100000000000001" customHeight="1" x14ac:dyDescent="0.3">
      <c r="B34" s="9"/>
      <c r="C34" s="9"/>
      <c r="E34" s="9"/>
      <c r="F34" s="9"/>
    </row>
    <row r="35" spans="2:6" ht="20.100000000000001" customHeight="1" x14ac:dyDescent="0.3"/>
    <row r="36" spans="2:6" ht="20.100000000000001" customHeight="1" x14ac:dyDescent="0.3"/>
    <row r="37" spans="2:6" ht="20.100000000000001" customHeight="1" x14ac:dyDescent="0.3">
      <c r="C37" s="35"/>
    </row>
    <row r="38" spans="2:6" ht="20.100000000000001" customHeight="1" x14ac:dyDescent="0.3"/>
    <row r="39" spans="2:6" ht="20.100000000000001" customHeight="1" x14ac:dyDescent="0.3"/>
    <row r="40" spans="2:6" ht="20.100000000000001" customHeight="1" x14ac:dyDescent="0.3"/>
    <row r="41" spans="2:6" ht="20.100000000000001" customHeight="1" x14ac:dyDescent="0.3"/>
    <row r="42" spans="2:6" ht="20.100000000000001" customHeight="1" x14ac:dyDescent="0.3"/>
    <row r="43" spans="2:6" ht="20.100000000000001" customHeight="1" x14ac:dyDescent="0.3"/>
    <row r="44" spans="2:6" ht="20.100000000000001" customHeight="1" x14ac:dyDescent="0.3"/>
    <row r="45" spans="2:6" ht="20.100000000000001" customHeight="1" x14ac:dyDescent="0.3"/>
    <row r="46" spans="2:6" ht="20.100000000000001" customHeight="1" x14ac:dyDescent="0.3"/>
    <row r="47" spans="2:6" ht="20.100000000000001" customHeight="1" x14ac:dyDescent="0.3"/>
  </sheetData>
  <sheetProtection algorithmName="SHA-512" hashValue="4Rf7tciVbNGTRYACcPUzafg7D3OKF72LkibOWPxuzvP2JHhXyeqb/D1JY52XTSCiFThYiJJCD6oW01JHgLRQpQ==" saltValue="dG265OLsrJFp2gDbdMhtdA==" spinCount="100000" sheet="1" objects="1" scenarios="1" formatCells="0" formatColumns="0" formatRows="0" insertHyperlinks="0" selectLockedCells="1" sort="0"/>
  <mergeCells count="10">
    <mergeCell ref="B30:B31"/>
    <mergeCell ref="B16:B17"/>
    <mergeCell ref="D14:D15"/>
    <mergeCell ref="E14:E15"/>
    <mergeCell ref="B14:B15"/>
    <mergeCell ref="C2:D2"/>
    <mergeCell ref="C3:D3"/>
    <mergeCell ref="C4:D4"/>
    <mergeCell ref="C5:D5"/>
    <mergeCell ref="B10:B13"/>
  </mergeCells>
  <phoneticPr fontId="18" type="noConversion"/>
  <conditionalFormatting sqref="F9">
    <cfRule type="expression" dxfId="0" priority="2">
      <formula>+$E$14="Si"</formula>
    </cfRule>
  </conditionalFormatting>
  <dataValidations count="2">
    <dataValidation type="whole" operator="greaterThanOrEqual" allowBlank="1" showInputMessage="1" showErrorMessage="1" sqref="E30:E31 E8:E13" xr:uid="{00000000-0002-0000-0100-000002000000}">
      <formula1>0</formula1>
    </dataValidation>
    <dataValidation type="whole" allowBlank="1" showInputMessage="1" showErrorMessage="1" sqref="E17" xr:uid="{35109BBA-6C86-46AE-A533-9D9FC95CC06B}">
      <formula1>0</formula1>
      <formula2>10</formula2>
    </dataValidation>
  </dataValidations>
  <printOptions horizontalCentered="1"/>
  <pageMargins left="0.55118110236220474" right="0.47244094488188981" top="0.31496062992125984" bottom="0.31496062992125984" header="0.31496062992125984" footer="0.31496062992125984"/>
  <pageSetup paperSize="9" scale="83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xr:uid="{0BF99553-EAA4-4BFB-BA8C-A0E8B52EC8E9}">
          <x14:formula1>
            <xm:f>'Datos iniciales'!$E$13:$E$14</xm:f>
          </x14:formula1>
          <xm:sqref>E14:E16 E21:E23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6D7-BDDE-42E1-8137-E12246349858}">
  <sheetPr>
    <pageSetUpPr fitToPage="1"/>
  </sheetPr>
  <dimension ref="B1:G37"/>
  <sheetViews>
    <sheetView showGridLines="0" showZeros="0" defaultGridColor="0" colorId="18" zoomScale="90" zoomScaleNormal="90" zoomScaleSheetLayoutView="90" workbookViewId="0">
      <selection activeCell="E13" sqref="E13"/>
    </sheetView>
  </sheetViews>
  <sheetFormatPr baseColWidth="10" defaultRowHeight="16.5" x14ac:dyDescent="0.3"/>
  <cols>
    <col min="1" max="1" width="5.7109375" style="9" customWidth="1"/>
    <col min="2" max="2" width="38.7109375" style="2" customWidth="1"/>
    <col min="3" max="3" width="80.7109375" style="2" customWidth="1"/>
    <col min="4" max="4" width="18.7109375" style="9" customWidth="1"/>
    <col min="5" max="5" width="12.7109375" style="10" customWidth="1"/>
    <col min="6" max="6" width="12.7109375" style="11" customWidth="1"/>
    <col min="7" max="9" width="14.7109375" style="9" customWidth="1"/>
    <col min="10" max="10" width="14.7109375" style="9" bestFit="1" customWidth="1"/>
    <col min="11" max="11" width="13.28515625" style="9" customWidth="1"/>
    <col min="12" max="16384" width="11.42578125" style="9"/>
  </cols>
  <sheetData>
    <row r="1" spans="2:7" ht="30" customHeight="1" x14ac:dyDescent="0.3">
      <c r="B1" s="4"/>
      <c r="D1" s="8" t="str">
        <f>+'Datos iniciales'!D1</f>
        <v xml:space="preserve">CALCULO DE TARIFAS ECU MADRID 2026 </v>
      </c>
      <c r="E1" s="4"/>
      <c r="F1" s="4"/>
    </row>
    <row r="2" spans="2:7" ht="19.5" customHeight="1" x14ac:dyDescent="0.3">
      <c r="B2" s="13" t="s">
        <v>52</v>
      </c>
      <c r="C2" s="121">
        <f>+'Datos iniciales'!C3</f>
        <v>0</v>
      </c>
      <c r="D2" s="121"/>
      <c r="E2" s="4"/>
      <c r="F2" s="4"/>
    </row>
    <row r="3" spans="2:7" ht="19.5" customHeight="1" x14ac:dyDescent="0.3">
      <c r="B3" s="13" t="s">
        <v>25</v>
      </c>
      <c r="C3" s="121">
        <f>+'Datos iniciales'!C4</f>
        <v>0</v>
      </c>
      <c r="D3" s="121"/>
      <c r="E3" s="99"/>
      <c r="F3" s="99"/>
    </row>
    <row r="4" spans="2:7" ht="19.5" customHeight="1" x14ac:dyDescent="0.3">
      <c r="B4" s="13" t="s">
        <v>24</v>
      </c>
      <c r="C4" s="121">
        <f>+'Datos iniciales'!C5</f>
        <v>0</v>
      </c>
      <c r="D4" s="121"/>
      <c r="E4" s="99"/>
      <c r="F4" s="99"/>
    </row>
    <row r="5" spans="2:7" ht="19.5" customHeight="1" x14ac:dyDescent="0.3">
      <c r="B5" s="13" t="s">
        <v>26</v>
      </c>
      <c r="C5" s="121" t="str">
        <f>+'Datos iniciales'!C6</f>
        <v>01 - Centro</v>
      </c>
      <c r="D5" s="121"/>
      <c r="E5" s="99"/>
      <c r="F5" s="99"/>
    </row>
    <row r="6" spans="2:7" ht="35.1" customHeight="1" x14ac:dyDescent="0.3">
      <c r="B6" s="14" t="s">
        <v>69</v>
      </c>
      <c r="C6" s="14"/>
      <c r="D6" s="7"/>
      <c r="E6" s="18"/>
      <c r="F6" s="15"/>
    </row>
    <row r="7" spans="2:7" ht="25.5" x14ac:dyDescent="0.3">
      <c r="B7" s="36" t="s">
        <v>7</v>
      </c>
      <c r="C7" s="52" t="s">
        <v>8</v>
      </c>
      <c r="D7" s="70"/>
      <c r="E7" s="71" t="s">
        <v>0</v>
      </c>
      <c r="F7" s="40" t="s">
        <v>56</v>
      </c>
    </row>
    <row r="8" spans="2:7" ht="60" customHeight="1" x14ac:dyDescent="0.3">
      <c r="B8" s="49" t="s">
        <v>93</v>
      </c>
      <c r="C8" s="72" t="s">
        <v>19</v>
      </c>
      <c r="D8" s="46" t="s">
        <v>15</v>
      </c>
      <c r="E8" s="16"/>
      <c r="F8" s="47">
        <f>1080*AND(E8&gt;0,E8&lt;201)+(1080+2.1*(E8-200))*AND(E8&gt;200,E8&lt;501)+(1710+1.55*(E8-500))*(E8&gt;500)</f>
        <v>0</v>
      </c>
      <c r="G8" s="108"/>
    </row>
    <row r="9" spans="2:7" ht="30" customHeight="1" x14ac:dyDescent="0.3">
      <c r="B9" s="132" t="s">
        <v>94</v>
      </c>
      <c r="C9" s="133"/>
      <c r="D9" s="46" t="s">
        <v>15</v>
      </c>
      <c r="E9" s="16"/>
      <c r="F9" s="47">
        <f>190*AND(E9&gt;0,E9&lt;101)+225*AND(E9&gt;100,E9&lt;201)+(225+0.9*(E9-200))*AND(E9&gt;200,E9&lt;501)+(495+0.5*(E9-500))*(E9&gt;500)</f>
        <v>0</v>
      </c>
      <c r="G9" s="108"/>
    </row>
    <row r="10" spans="2:7" ht="30" customHeight="1" x14ac:dyDescent="0.3">
      <c r="B10" s="117" t="s">
        <v>70</v>
      </c>
      <c r="C10" s="127" t="s">
        <v>71</v>
      </c>
      <c r="D10" s="130"/>
      <c r="E10" s="134" t="s">
        <v>3</v>
      </c>
      <c r="F10" s="129">
        <f>215*(E10="Si")</f>
        <v>0</v>
      </c>
      <c r="G10" s="108"/>
    </row>
    <row r="11" spans="2:7" ht="20.100000000000001" customHeight="1" x14ac:dyDescent="0.3">
      <c r="B11" s="118"/>
      <c r="C11" s="128"/>
      <c r="D11" s="131"/>
      <c r="E11" s="134"/>
      <c r="F11" s="129"/>
      <c r="G11" s="108"/>
    </row>
    <row r="12" spans="2:7" ht="45" customHeight="1" x14ac:dyDescent="0.3">
      <c r="B12" s="49" t="s">
        <v>72</v>
      </c>
      <c r="C12" s="72" t="s">
        <v>20</v>
      </c>
      <c r="D12" s="46"/>
      <c r="E12" s="16" t="s">
        <v>3</v>
      </c>
      <c r="F12" s="47">
        <f>+IF(E12="No",0,545)</f>
        <v>0</v>
      </c>
      <c r="G12" s="108"/>
    </row>
    <row r="13" spans="2:7" ht="30" customHeight="1" thickBot="1" x14ac:dyDescent="0.35">
      <c r="B13" s="97" t="s">
        <v>73</v>
      </c>
      <c r="C13" s="90" t="s">
        <v>20</v>
      </c>
      <c r="D13" s="76"/>
      <c r="E13" s="17" t="s">
        <v>3</v>
      </c>
      <c r="F13" s="58">
        <f>+IF(E13="No",0,325)</f>
        <v>0</v>
      </c>
      <c r="G13" s="108"/>
    </row>
    <row r="14" spans="2:7" ht="20.100000000000001" customHeight="1" thickBot="1" x14ac:dyDescent="0.35">
      <c r="D14" s="2"/>
      <c r="E14" s="75" t="s">
        <v>13</v>
      </c>
      <c r="F14" s="34">
        <f>ROUND(SUM(F8:F13),2)</f>
        <v>0</v>
      </c>
    </row>
    <row r="15" spans="2:7" ht="20.100000000000001" customHeight="1" x14ac:dyDescent="0.3">
      <c r="B15" s="9"/>
      <c r="C15" s="9"/>
      <c r="D15" s="74" t="s">
        <v>54</v>
      </c>
      <c r="E15" s="9"/>
      <c r="F15" s="9"/>
    </row>
    <row r="16" spans="2:7" ht="20.100000000000001" customHeight="1" x14ac:dyDescent="0.3">
      <c r="B16" s="62"/>
      <c r="C16" s="63"/>
      <c r="D16" s="68" t="s">
        <v>30</v>
      </c>
      <c r="E16" s="86" t="s">
        <v>3</v>
      </c>
      <c r="F16" s="68" t="str">
        <f>IF(E16="Si",-F14*'Datos iniciales'!E8,"")</f>
        <v/>
      </c>
    </row>
    <row r="17" spans="2:6" ht="20.100000000000001" customHeight="1" x14ac:dyDescent="0.3">
      <c r="B17" s="64"/>
      <c r="C17" s="65"/>
      <c r="D17" s="68" t="s">
        <v>27</v>
      </c>
      <c r="E17" s="86" t="s">
        <v>3</v>
      </c>
      <c r="F17" s="68" t="str">
        <f>IF(E17="Si",-F14*'Datos iniciales'!E9,"")</f>
        <v/>
      </c>
    </row>
    <row r="18" spans="2:6" ht="20.100000000000001" customHeight="1" thickBot="1" x14ac:dyDescent="0.35">
      <c r="B18" s="66"/>
      <c r="C18" s="67"/>
      <c r="D18" s="69" t="s">
        <v>28</v>
      </c>
      <c r="E18" s="17" t="s">
        <v>3</v>
      </c>
      <c r="F18" s="69" t="str">
        <f>IF(E18="Si",-F14*'Datos iniciales'!E10,"")</f>
        <v/>
      </c>
    </row>
    <row r="19" spans="2:6" ht="20.100000000000001" customHeight="1" x14ac:dyDescent="0.3">
      <c r="B19" s="73"/>
      <c r="C19" s="73"/>
      <c r="E19" s="26" t="s">
        <v>14</v>
      </c>
      <c r="F19" s="27">
        <f>SUM(F14:F18)</f>
        <v>0</v>
      </c>
    </row>
    <row r="20" spans="2:6" ht="20.100000000000001" customHeight="1" thickBot="1" x14ac:dyDescent="0.35">
      <c r="E20" s="27" t="s">
        <v>11</v>
      </c>
      <c r="F20" s="27">
        <f>+ROUND(F19*0.21,2)</f>
        <v>0</v>
      </c>
    </row>
    <row r="21" spans="2:6" ht="20.100000000000001" customHeight="1" thickBot="1" x14ac:dyDescent="0.35">
      <c r="C21" s="84" t="str">
        <f>+'Datos iniciales'!C13</f>
        <v>CCC Banco Sabadell: 0081-0569-88-0001943595</v>
      </c>
      <c r="D21" s="30"/>
      <c r="E21" s="31" t="s">
        <v>1</v>
      </c>
      <c r="F21" s="32">
        <f>SUM(F19:F20)</f>
        <v>0</v>
      </c>
    </row>
    <row r="22" spans="2:6" ht="20.100000000000001" customHeight="1" x14ac:dyDescent="0.3">
      <c r="D22" s="2"/>
      <c r="E22" s="29"/>
      <c r="F22" s="28"/>
    </row>
    <row r="23" spans="2:6" ht="20.100000000000001" customHeight="1" x14ac:dyDescent="0.3">
      <c r="E23" s="9"/>
      <c r="F23" s="9"/>
    </row>
    <row r="24" spans="2:6" ht="20.100000000000001" customHeight="1" x14ac:dyDescent="0.3"/>
    <row r="25" spans="2:6" ht="20.100000000000001" customHeight="1" x14ac:dyDescent="0.3">
      <c r="C25" s="9"/>
    </row>
    <row r="26" spans="2:6" ht="20.100000000000001" customHeight="1" x14ac:dyDescent="0.3"/>
    <row r="27" spans="2:6" ht="20.100000000000001" customHeight="1" x14ac:dyDescent="0.3"/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</sheetData>
  <sheetProtection algorithmName="SHA-512" hashValue="y8yQSUc4Q3ttAOP4ZZs/5pJZdQIead/WbULEuF/0Dl4elL7pfDc5sQF8T5s8mQsejSeJrhwq510/0gKIgfVNGQ==" saltValue="2i9dUCsAilvPZMbcvCcepQ==" spinCount="100000" sheet="1" objects="1" scenarios="1" formatCells="0" formatColumns="0" formatRows="0" insertHyperlinks="0" selectLockedCells="1" sort="0"/>
  <mergeCells count="9">
    <mergeCell ref="F10:F11"/>
    <mergeCell ref="C10:D11"/>
    <mergeCell ref="B9:C9"/>
    <mergeCell ref="B10:B11"/>
    <mergeCell ref="C2:D2"/>
    <mergeCell ref="C3:D3"/>
    <mergeCell ref="C4:D4"/>
    <mergeCell ref="C5:D5"/>
    <mergeCell ref="E10:E11"/>
  </mergeCells>
  <dataValidations count="1">
    <dataValidation type="whole" operator="greaterThanOrEqual" allowBlank="1" showInputMessage="1" showErrorMessage="1" sqref="E8:E9" xr:uid="{C122BADB-08A7-4F6C-BBF5-A0E957FDD98E}">
      <formula1>0</formula1>
    </dataValidation>
  </dataValidations>
  <printOptions horizontalCentered="1"/>
  <pageMargins left="0.55118110236220474" right="0.47244094488188981" top="0.31496062992125984" bottom="0.31496062992125984" header="0.31496062992125984" footer="0.31496062992125984"/>
  <pageSetup paperSize="9" scale="84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xr:uid="{58253871-F371-4A83-8293-B5C8C54B677A}">
          <x14:formula1>
            <xm:f>'Datos iniciales'!$E$13:$E$14</xm:f>
          </x14:formula1>
          <xm:sqref>E10 E12:E13 E16:E18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B709D-8FEB-4CDD-89A9-B9168116A67F}">
  <dimension ref="B1:G33"/>
  <sheetViews>
    <sheetView showZeros="0" workbookViewId="0">
      <selection activeCell="E12" sqref="E12"/>
    </sheetView>
  </sheetViews>
  <sheetFormatPr baseColWidth="10" defaultRowHeight="16.5" x14ac:dyDescent="0.3"/>
  <cols>
    <col min="1" max="1" width="5.7109375" style="9" customWidth="1"/>
    <col min="2" max="2" width="38.7109375" style="2" customWidth="1"/>
    <col min="3" max="3" width="80.7109375" style="2" customWidth="1"/>
    <col min="4" max="4" width="18.7109375" style="9" customWidth="1"/>
    <col min="5" max="5" width="12.7109375" style="10" customWidth="1"/>
    <col min="6" max="6" width="12.7109375" style="11" customWidth="1"/>
    <col min="7" max="9" width="14.7109375" style="9" customWidth="1"/>
    <col min="10" max="10" width="14.7109375" style="9" bestFit="1" customWidth="1"/>
    <col min="11" max="11" width="13.28515625" style="9" customWidth="1"/>
    <col min="12" max="16384" width="11.42578125" style="9"/>
  </cols>
  <sheetData>
    <row r="1" spans="2:7" ht="30" customHeight="1" x14ac:dyDescent="0.3">
      <c r="B1" s="4"/>
      <c r="D1" s="8" t="str">
        <f>+'Datos iniciales'!D1</f>
        <v xml:space="preserve">CALCULO DE TARIFAS ECU MADRID 2026 </v>
      </c>
      <c r="E1" s="4"/>
      <c r="F1" s="4"/>
    </row>
    <row r="2" spans="2:7" ht="19.5" customHeight="1" x14ac:dyDescent="0.3">
      <c r="B2" s="13" t="s">
        <v>52</v>
      </c>
      <c r="C2" s="121">
        <f>+'Datos iniciales'!C3</f>
        <v>0</v>
      </c>
      <c r="D2" s="121"/>
      <c r="E2" s="4"/>
      <c r="F2" s="4"/>
    </row>
    <row r="3" spans="2:7" ht="19.5" customHeight="1" x14ac:dyDescent="0.3">
      <c r="B3" s="13" t="s">
        <v>25</v>
      </c>
      <c r="C3" s="121">
        <f>+'Datos iniciales'!C4</f>
        <v>0</v>
      </c>
      <c r="D3" s="121"/>
      <c r="E3" s="99"/>
      <c r="F3" s="99"/>
    </row>
    <row r="4" spans="2:7" ht="19.5" customHeight="1" x14ac:dyDescent="0.3">
      <c r="B4" s="13" t="s">
        <v>24</v>
      </c>
      <c r="C4" s="121">
        <f>+'Datos iniciales'!C5</f>
        <v>0</v>
      </c>
      <c r="D4" s="121"/>
      <c r="E4" s="99"/>
      <c r="F4" s="99"/>
    </row>
    <row r="5" spans="2:7" ht="19.5" customHeight="1" x14ac:dyDescent="0.3">
      <c r="B5" s="13" t="s">
        <v>26</v>
      </c>
      <c r="C5" s="121" t="str">
        <f>+'Datos iniciales'!C6</f>
        <v>01 - Centro</v>
      </c>
      <c r="D5" s="121"/>
      <c r="E5" s="99"/>
      <c r="F5" s="99"/>
    </row>
    <row r="6" spans="2:7" ht="35.1" customHeight="1" x14ac:dyDescent="0.3">
      <c r="B6" s="14" t="s">
        <v>69</v>
      </c>
      <c r="C6" s="14"/>
      <c r="D6" s="7"/>
      <c r="E6" s="18"/>
      <c r="F6" s="15"/>
    </row>
    <row r="7" spans="2:7" ht="25.5" x14ac:dyDescent="0.3">
      <c r="B7" s="36" t="s">
        <v>7</v>
      </c>
      <c r="C7" s="52" t="s">
        <v>8</v>
      </c>
      <c r="D7" s="70"/>
      <c r="E7" s="71" t="s">
        <v>0</v>
      </c>
      <c r="F7" s="40" t="s">
        <v>56</v>
      </c>
    </row>
    <row r="8" spans="2:7" ht="30" customHeight="1" x14ac:dyDescent="0.3">
      <c r="B8" s="117" t="s">
        <v>77</v>
      </c>
      <c r="C8" s="92" t="s">
        <v>74</v>
      </c>
      <c r="D8" s="93" t="s">
        <v>66</v>
      </c>
      <c r="E8" s="16"/>
      <c r="F8" s="50">
        <f>500*AND(E8&gt;0,E8&lt;101)+700*AND(E8&gt;100,E8&lt;201)+1000*AND(E8&gt;200,E8&lt;301)+1000*AND(E8&gt;300)+(1*(E8-300)*(E8&gt;300))</f>
        <v>0</v>
      </c>
      <c r="G8" s="108"/>
    </row>
    <row r="9" spans="2:7" ht="20.100000000000001" customHeight="1" thickBot="1" x14ac:dyDescent="0.35">
      <c r="B9" s="122"/>
      <c r="C9" s="94" t="s">
        <v>67</v>
      </c>
      <c r="D9" s="95" t="s">
        <v>66</v>
      </c>
      <c r="E9" s="17"/>
      <c r="F9" s="58">
        <f>(1000+E9*1.75)*(E9&gt;0)</f>
        <v>0</v>
      </c>
      <c r="G9" s="108"/>
    </row>
    <row r="10" spans="2:7" ht="20.100000000000001" customHeight="1" thickBot="1" x14ac:dyDescent="0.35">
      <c r="D10" s="2"/>
      <c r="E10" s="75" t="s">
        <v>13</v>
      </c>
      <c r="F10" s="34">
        <f>ROUND(SUM(F8:F9),2)</f>
        <v>0</v>
      </c>
    </row>
    <row r="11" spans="2:7" ht="20.100000000000001" customHeight="1" x14ac:dyDescent="0.3">
      <c r="B11" s="9"/>
      <c r="C11" s="9"/>
      <c r="D11" s="74" t="s">
        <v>54</v>
      </c>
      <c r="E11" s="9"/>
      <c r="F11" s="9"/>
    </row>
    <row r="12" spans="2:7" ht="20.100000000000001" customHeight="1" x14ac:dyDescent="0.3">
      <c r="B12" s="62"/>
      <c r="C12" s="63"/>
      <c r="D12" s="68" t="s">
        <v>30</v>
      </c>
      <c r="E12" s="86" t="s">
        <v>3</v>
      </c>
      <c r="F12" s="68" t="str">
        <f>IF(E12="Si",-F10*'Datos iniciales'!E8,"")</f>
        <v/>
      </c>
    </row>
    <row r="13" spans="2:7" ht="20.100000000000001" customHeight="1" x14ac:dyDescent="0.3">
      <c r="B13" s="64"/>
      <c r="C13" s="65"/>
      <c r="D13" s="68" t="s">
        <v>27</v>
      </c>
      <c r="E13" s="86" t="s">
        <v>3</v>
      </c>
      <c r="F13" s="68" t="str">
        <f>IF(E13="Si",-F10*'Datos iniciales'!E9,"")</f>
        <v/>
      </c>
    </row>
    <row r="14" spans="2:7" ht="20.100000000000001" customHeight="1" thickBot="1" x14ac:dyDescent="0.35">
      <c r="B14" s="66"/>
      <c r="C14" s="67"/>
      <c r="D14" s="69" t="s">
        <v>28</v>
      </c>
      <c r="E14" s="17" t="s">
        <v>3</v>
      </c>
      <c r="F14" s="69" t="str">
        <f>IF(E14="Si",-F10*'Datos iniciales'!E10,"")</f>
        <v/>
      </c>
    </row>
    <row r="15" spans="2:7" ht="20.100000000000001" customHeight="1" x14ac:dyDescent="0.3">
      <c r="B15" s="73"/>
      <c r="C15" s="73"/>
      <c r="E15" s="26" t="s">
        <v>14</v>
      </c>
      <c r="F15" s="27">
        <f>SUM(F10:F14)</f>
        <v>0</v>
      </c>
    </row>
    <row r="16" spans="2:7" ht="20.100000000000001" customHeight="1" thickBot="1" x14ac:dyDescent="0.35">
      <c r="E16" s="27" t="s">
        <v>11</v>
      </c>
      <c r="F16" s="27">
        <f>+ROUND(F15*0.21,2)</f>
        <v>0</v>
      </c>
    </row>
    <row r="17" spans="3:6" ht="20.100000000000001" customHeight="1" thickBot="1" x14ac:dyDescent="0.35">
      <c r="C17" s="84" t="str">
        <f>+'Datos iniciales'!C13</f>
        <v>CCC Banco Sabadell: 0081-0569-88-0001943595</v>
      </c>
      <c r="D17" s="30"/>
      <c r="E17" s="31" t="s">
        <v>1</v>
      </c>
      <c r="F17" s="32">
        <f>SUM(F15:F16)</f>
        <v>0</v>
      </c>
    </row>
    <row r="18" spans="3:6" ht="20.100000000000001" customHeight="1" x14ac:dyDescent="0.3">
      <c r="D18" s="2"/>
      <c r="E18" s="29"/>
      <c r="F18" s="28"/>
    </row>
    <row r="19" spans="3:6" ht="20.100000000000001" customHeight="1" x14ac:dyDescent="0.3">
      <c r="E19" s="9"/>
      <c r="F19" s="9"/>
    </row>
    <row r="20" spans="3:6" ht="20.100000000000001" customHeight="1" x14ac:dyDescent="0.3"/>
    <row r="21" spans="3:6" ht="20.100000000000001" customHeight="1" x14ac:dyDescent="0.3">
      <c r="C21" s="9"/>
    </row>
    <row r="22" spans="3:6" ht="20.100000000000001" customHeight="1" x14ac:dyDescent="0.3"/>
    <row r="23" spans="3:6" ht="20.100000000000001" customHeight="1" x14ac:dyDescent="0.3"/>
    <row r="24" spans="3:6" ht="20.100000000000001" customHeight="1" x14ac:dyDescent="0.3"/>
    <row r="25" spans="3:6" ht="20.100000000000001" customHeight="1" x14ac:dyDescent="0.3"/>
    <row r="26" spans="3:6" ht="20.100000000000001" customHeight="1" x14ac:dyDescent="0.3"/>
    <row r="27" spans="3:6" ht="20.100000000000001" customHeight="1" x14ac:dyDescent="0.3"/>
    <row r="28" spans="3:6" ht="20.100000000000001" customHeight="1" x14ac:dyDescent="0.3"/>
    <row r="29" spans="3:6" ht="20.100000000000001" customHeight="1" x14ac:dyDescent="0.3"/>
    <row r="30" spans="3:6" ht="20.100000000000001" customHeight="1" x14ac:dyDescent="0.3"/>
    <row r="31" spans="3:6" ht="20.100000000000001" customHeight="1" x14ac:dyDescent="0.3"/>
    <row r="32" spans="3:6" ht="20.100000000000001" customHeight="1" x14ac:dyDescent="0.3"/>
    <row r="33" ht="20.100000000000001" customHeight="1" x14ac:dyDescent="0.3"/>
  </sheetData>
  <sheetProtection algorithmName="SHA-512" hashValue="A1CnkdQnpQThnkh/Kuhz3dewh6BI3O3pd/UTDLnCFgkESte3nhw9P+vfahigCZc++4/c6Nhpk1C5A6TE35ad4w==" saltValue="ANEzwn5SJFmVk0mqWlx9dw==" spinCount="100000" sheet="1" objects="1" scenarios="1" formatCells="0" formatColumns="0" formatRows="0" insertHyperlinks="0" selectLockedCells="1" sort="0"/>
  <mergeCells count="5">
    <mergeCell ref="C2:D2"/>
    <mergeCell ref="C3:D3"/>
    <mergeCell ref="C4:D4"/>
    <mergeCell ref="C5:D5"/>
    <mergeCell ref="B8:B9"/>
  </mergeCells>
  <dataValidations count="1">
    <dataValidation type="whole" operator="greaterThanOrEqual" allowBlank="1" showInputMessage="1" showErrorMessage="1" sqref="E8:E9" xr:uid="{B5FFB085-83DB-4EED-B3D4-B698B38FC9FA}">
      <formula1>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xr:uid="{E09BAD6B-B922-47C5-99E6-6A67AE1A6855}">
          <x14:formula1>
            <xm:f>'Datos iniciales'!$E$13:$E$14</xm:f>
          </x14:formula1>
          <xm:sqref>E12:E14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Datos iniciales</vt:lpstr>
      <vt:lpstr>Declaración Responsable</vt:lpstr>
      <vt:lpstr>Licencia</vt:lpstr>
      <vt:lpstr>POyF</vt:lpstr>
      <vt:lpstr>CAU</vt:lpstr>
      <vt:lpstr>'Datos iniciales'!Área_de_impresión</vt:lpstr>
      <vt:lpstr>'Declaración Responsable'!Área_de_impresión</vt:lpstr>
      <vt:lpstr>Licencia!Área_de_impresión</vt:lpstr>
      <vt:lpstr>POyF!Área_de_impresión</vt:lpstr>
      <vt:lpstr>'Datos iniciales'!Print_Area</vt:lpstr>
      <vt:lpstr>'Declaración Responsable'!Print_Area</vt:lpstr>
    </vt:vector>
  </TitlesOfParts>
  <Company>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Eduardo Cárdenas</cp:lastModifiedBy>
  <cp:lastPrinted>2022-07-07T17:32:47Z</cp:lastPrinted>
  <dcterms:created xsi:type="dcterms:W3CDTF">2010-03-31T15:25:08Z</dcterms:created>
  <dcterms:modified xsi:type="dcterms:W3CDTF">2026-01-23T18:45:37Z</dcterms:modified>
</cp:coreProperties>
</file>